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S:\Sustainability\Projects\Development Standards\Article 13 - 2021 Updates\Implementation Documents\GHG Worksheet and Applicant Guide\"/>
    </mc:Choice>
  </mc:AlternateContent>
  <xr:revisionPtr revIDLastSave="0" documentId="13_ncr:1_{DAAB6BCA-F9B6-4AD5-920F-FA82CBA4FD8D}" xr6:coauthVersionLast="47" xr6:coauthVersionMax="47" xr10:uidLastSave="{00000000-0000-0000-0000-000000000000}"/>
  <workbookProtection workbookAlgorithmName="SHA-512" workbookHashValue="dhtkjOZlIEv41hajDrtZzh4V1fqTgqCFEF5roM22Gd0kqojbUyOEwA7UrfP4QEufq7FMeywN4j6d+JLS7mPbAA==" workbookSaltValue="jXTV0SfwCCVhNMlr+QVK7g==" workbookSpinCount="100000" lockStructure="1"/>
  <bookViews>
    <workbookView xWindow="28680" yWindow="-120" windowWidth="29040" windowHeight="15840" xr2:uid="{00000000-000D-0000-FFFF-FFFF00000000}"/>
  </bookViews>
  <sheets>
    <sheet name="Applicant Input &amp; Summary" sheetId="20" r:id="rId1"/>
    <sheet name="Mitigated Emissions Input" sheetId="19" r:id="rId2"/>
    <sheet name="Calculation Details" sheetId="1" r:id="rId3"/>
    <sheet name="Performance Std - Source Data" sheetId="14" r:id="rId4"/>
    <sheet name="Projected Energy" sheetId="4" r:id="rId5"/>
    <sheet name="Projected Waste" sheetId="17" r:id="rId6"/>
    <sheet name="Projected Transportation" sheetId="13" r:id="rId7"/>
    <sheet name="Standard Values" sheetId="6" r:id="rId8"/>
  </sheets>
  <definedNames>
    <definedName name="_xlnm.Print_Area" localSheetId="0">'Applicant Input &amp; Summary'!$A$2:$C$30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5" i="6" l="1"/>
  <c r="B45" i="19"/>
  <c r="C19" i="14" l="1"/>
  <c r="B15" i="14"/>
  <c r="C17" i="14"/>
  <c r="D19" i="14"/>
  <c r="C15" i="14"/>
  <c r="D28" i="6" l="1"/>
  <c r="B8" i="1" l="1"/>
  <c r="B7" i="1"/>
  <c r="B6" i="1"/>
  <c r="B5" i="1"/>
  <c r="B52" i="1"/>
  <c r="C6" i="14"/>
  <c r="B6" i="14"/>
  <c r="B15" i="1" l="1"/>
  <c r="B12" i="1"/>
  <c r="B13" i="1"/>
  <c r="B28" i="1"/>
  <c r="B26" i="19"/>
  <c r="B14" i="6"/>
  <c r="E4" i="13"/>
  <c r="B5" i="6"/>
  <c r="F5" i="13" l="1"/>
  <c r="F4" i="13"/>
  <c r="B6" i="13" l="1"/>
  <c r="B49" i="19" l="1"/>
  <c r="B36" i="1" l="1"/>
  <c r="B18" i="14"/>
  <c r="B20" i="1" l="1"/>
  <c r="B16" i="19" l="1"/>
  <c r="B9" i="19"/>
  <c r="B4" i="17" l="1"/>
  <c r="B3" i="17"/>
  <c r="F4" i="17"/>
  <c r="D3" i="17"/>
  <c r="D6" i="14"/>
  <c r="B16" i="14"/>
  <c r="B7" i="14"/>
  <c r="C8" i="14" s="1"/>
  <c r="C10" i="14" s="1"/>
  <c r="B11" i="19" l="1"/>
  <c r="B18" i="19"/>
  <c r="D29" i="6"/>
  <c r="B28" i="6" s="1"/>
  <c r="B38" i="14" l="1"/>
  <c r="B39" i="14" l="1"/>
  <c r="B17" i="14"/>
  <c r="B19" i="14" l="1"/>
  <c r="C3" i="17"/>
  <c r="E6" i="14"/>
  <c r="E8" i="14" s="1"/>
  <c r="E10" i="14" s="1"/>
  <c r="C4" i="17"/>
  <c r="D15" i="14"/>
  <c r="B8" i="14"/>
  <c r="B10" i="14" s="1"/>
  <c r="D8" i="14"/>
  <c r="D17" i="14" l="1"/>
  <c r="E15" i="14"/>
  <c r="F6" i="14"/>
  <c r="F8" i="14"/>
  <c r="D10" i="14"/>
  <c r="E17" i="14" l="1"/>
  <c r="F10" i="14"/>
  <c r="B16" i="1" l="1"/>
  <c r="B11" i="20" s="1"/>
  <c r="E19" i="14"/>
  <c r="G4" i="17"/>
  <c r="E3" i="17"/>
  <c r="B38" i="19" l="1"/>
  <c r="B40" i="19" s="1"/>
  <c r="B50" i="19" s="1"/>
  <c r="B37" i="1" s="1"/>
  <c r="B44" i="1" l="1"/>
  <c r="B6" i="6" l="1"/>
  <c r="B21" i="1" l="1"/>
  <c r="B32" i="19" l="1"/>
  <c r="B33" i="19" s="1"/>
  <c r="B24" i="1"/>
  <c r="B48" i="19" l="1"/>
  <c r="B35" i="1" l="1"/>
  <c r="B43" i="1" l="1"/>
  <c r="B7" i="6" l="1"/>
  <c r="B8" i="6" s="1"/>
  <c r="B24" i="19" s="1"/>
  <c r="B12" i="19" l="1"/>
  <c r="B19" i="19"/>
  <c r="B23" i="1"/>
  <c r="B30" i="1" s="1"/>
  <c r="B47" i="19" l="1"/>
  <c r="B14" i="20"/>
  <c r="B25" i="1"/>
  <c r="B34" i="1" l="1"/>
  <c r="B51" i="19"/>
  <c r="B5" i="19" s="1"/>
  <c r="B38" i="1" l="1"/>
  <c r="B42" i="1"/>
  <c r="B17" i="20" l="1"/>
  <c r="B45" i="1"/>
  <c r="B55" i="1"/>
  <c r="B20" i="20" l="1"/>
  <c r="B49" i="1"/>
  <c r="B54" i="1" l="1"/>
  <c r="B56" i="1" s="1"/>
  <c r="B23" i="20"/>
  <c r="B28" i="20" l="1"/>
  <c r="B29" i="20" l="1"/>
  <c r="B57" i="1"/>
  <c r="B30" i="20" s="1"/>
</calcChain>
</file>

<file path=xl/sharedStrings.xml><?xml version="1.0" encoding="utf-8"?>
<sst xmlns="http://schemas.openxmlformats.org/spreadsheetml/2006/main" count="312" uniqueCount="216">
  <si>
    <t>SF</t>
  </si>
  <si>
    <t>Annual electricity use</t>
  </si>
  <si>
    <t>Annual natural gas use</t>
  </si>
  <si>
    <t>therms</t>
  </si>
  <si>
    <t>kwh</t>
  </si>
  <si>
    <t/>
  </si>
  <si>
    <t xml:space="preserve">Public assembly </t>
  </si>
  <si>
    <t xml:space="preserve">Public order and safety </t>
  </si>
  <si>
    <t xml:space="preserve">Religious worship </t>
  </si>
  <si>
    <t xml:space="preserve">Service </t>
  </si>
  <si>
    <t xml:space="preserve">Warehouse and storage </t>
  </si>
  <si>
    <t xml:space="preserve">Other </t>
  </si>
  <si>
    <t>Education</t>
  </si>
  <si>
    <t>Principal building activity</t>
  </si>
  <si>
    <t>Electricity
energy intensity
(kWh/square foot)</t>
  </si>
  <si>
    <t>Natural gas
energy intensity
(cubic feet/square foot)</t>
  </si>
  <si>
    <t>Average heat content of natural gas</t>
  </si>
  <si>
    <t>https://www.eia.gov/dnav/ng/ng_cons_heat_a_EPG0_VGTH_btucf_a.htm</t>
  </si>
  <si>
    <t>1 therm = 100,000 BTU</t>
  </si>
  <si>
    <t>Xcel grid carbon equivalency - electricity</t>
  </si>
  <si>
    <t>Xcel grid carbon equivalency - natural gas</t>
  </si>
  <si>
    <t>metric tons CO2/MWh</t>
  </si>
  <si>
    <t>metric tons CO2/therm</t>
  </si>
  <si>
    <t>metric tons CO2/kWh</t>
  </si>
  <si>
    <t>Annual Natural Gas Use CO2 emissions</t>
  </si>
  <si>
    <t>mTCO2e</t>
  </si>
  <si>
    <t>1 Mwh = 1000 kwh</t>
  </si>
  <si>
    <t>Annual Net Electricity Use CO2 emissions</t>
  </si>
  <si>
    <t>BTU / cf</t>
  </si>
  <si>
    <t>therms/cf</t>
  </si>
  <si>
    <t>Population</t>
  </si>
  <si>
    <t>mTCO2e per person</t>
  </si>
  <si>
    <t>1 unit</t>
  </si>
  <si>
    <t>2-4 units</t>
  </si>
  <si>
    <t>5-19 units</t>
  </si>
  <si>
    <t>20-49 units</t>
  </si>
  <si>
    <t>50+ units</t>
  </si>
  <si>
    <t>MH, RV, etc.</t>
  </si>
  <si>
    <t>Total Projected Annual CO2 emissions (Transportation)</t>
  </si>
  <si>
    <t>Total</t>
  </si>
  <si>
    <t>N/A</t>
  </si>
  <si>
    <t>Total Waste (tons)</t>
  </si>
  <si>
    <t>Waste Emissions (mtCO2e)</t>
  </si>
  <si>
    <t>Emissions per capita (mtCO2e/person)</t>
  </si>
  <si>
    <t>Square Footage</t>
  </si>
  <si>
    <t>Emissions per area (mtCO2e/SF)</t>
  </si>
  <si>
    <t>Residential</t>
  </si>
  <si>
    <t>Total projected annual energy CO2 emissions</t>
  </si>
  <si>
    <t>Transportation</t>
  </si>
  <si>
    <t>Waste</t>
  </si>
  <si>
    <t>Project Name:</t>
  </si>
  <si>
    <t>RESIDENTIAL PERFORMANCE STANDARD</t>
  </si>
  <si>
    <t>Emissions Per capita</t>
  </si>
  <si>
    <t>Total Emissions (mTCO2e)</t>
  </si>
  <si>
    <t>Target Reduction (%)</t>
  </si>
  <si>
    <t>Performance Standard per Capita (mTCO2e)</t>
  </si>
  <si>
    <t>Emissions Per SF</t>
  </si>
  <si>
    <t>mt CO2e</t>
  </si>
  <si>
    <t>tons</t>
  </si>
  <si>
    <t>mtCO2e per tons</t>
  </si>
  <si>
    <t>2018 GHG Inventory</t>
  </si>
  <si>
    <t>Waste emissions per ton</t>
  </si>
  <si>
    <t>(Waste + Recycling + Compost)</t>
  </si>
  <si>
    <t>Energy, Residential (Natural Gas)</t>
  </si>
  <si>
    <t>Energy, Residential (Propane)</t>
  </si>
  <si>
    <t>Energy, Residential (Electricity)</t>
  </si>
  <si>
    <t>Energy, Commercial (Natural Gas)</t>
  </si>
  <si>
    <t>Energy, Commercial (Diesel)</t>
  </si>
  <si>
    <t>Energy, Commercial (Propane)</t>
  </si>
  <si>
    <t>Energy, Commercial (Electricity)</t>
  </si>
  <si>
    <t>GHG Emissions (mt CO2e)</t>
  </si>
  <si>
    <t>Transportation (on-road fuel combustion)</t>
  </si>
  <si>
    <t>Transportation (grid supplied energy)</t>
  </si>
  <si>
    <t>Transportation (buses)</t>
  </si>
  <si>
    <t>Transportation (light rail)</t>
  </si>
  <si>
    <t>Waste (residential, 83,144 tons)</t>
  </si>
  <si>
    <t>Waste (commercial, 73,084 tons)</t>
  </si>
  <si>
    <t>Source: 2018 Jefferson County Assessor's Data</t>
  </si>
  <si>
    <t>2018 Lakewood Population</t>
  </si>
  <si>
    <t>Source: 2018 GHG Inventory Data</t>
  </si>
  <si>
    <t>2018 City wide commercial square footage</t>
  </si>
  <si>
    <t>SOURCE DATA</t>
  </si>
  <si>
    <t>2018 LAKEWOOD GHG INVENTORY DATA</t>
  </si>
  <si>
    <t>Building Type</t>
  </si>
  <si>
    <t>Total Households</t>
  </si>
  <si>
    <t>Total Population</t>
  </si>
  <si>
    <t>Average Household Size</t>
  </si>
  <si>
    <t>Emissions Sector</t>
  </si>
  <si>
    <t>Source: 2018 Lakewood GHG Inventory</t>
  </si>
  <si>
    <t>3 Year Average</t>
  </si>
  <si>
    <t>Project Address:</t>
  </si>
  <si>
    <t xml:space="preserve">Select Building Type: </t>
  </si>
  <si>
    <t>Proposed Gross Floor Area:</t>
  </si>
  <si>
    <t>Min Unit</t>
  </si>
  <si>
    <t>Max Unit</t>
  </si>
  <si>
    <t>metric tons CO2e</t>
  </si>
  <si>
    <t>Annual Performance Standard Emissions, Transportation:</t>
  </si>
  <si>
    <t>Annual Performance Standard Emissions, Waste:</t>
  </si>
  <si>
    <t>TOTAL ANNUAL EMISSIONS ALLOWED:</t>
  </si>
  <si>
    <t>1. PERFORMANCE STANDARD</t>
  </si>
  <si>
    <t>ENERGY</t>
  </si>
  <si>
    <t>WASTE</t>
  </si>
  <si>
    <t>3. MITIGATED EMISSIONS</t>
  </si>
  <si>
    <t>mtCO2e</t>
  </si>
  <si>
    <t>per MT CO2e</t>
  </si>
  <si>
    <t>Performance Standard per SF (mTCO2e)</t>
  </si>
  <si>
    <t>Baseline Electricity Use:</t>
  </si>
  <si>
    <t>Baseline Natural Gas Use:</t>
  </si>
  <si>
    <t>Projected Offsite Renewable Electricity Generated:</t>
  </si>
  <si>
    <t>Projected Onsite Renewable Electricity Generated:</t>
  </si>
  <si>
    <t>Baseline Projected Waste Emissions:</t>
  </si>
  <si>
    <t>mT CO2e</t>
  </si>
  <si>
    <t>Landfill Waste Diversion Rate</t>
  </si>
  <si>
    <t>spaces</t>
  </si>
  <si>
    <t>Full building Electrification?</t>
  </si>
  <si>
    <t>Recycling &amp; Composting Contract?</t>
  </si>
  <si>
    <t>Transportation Development Factors</t>
  </si>
  <si>
    <t>Default</t>
  </si>
  <si>
    <t>Multifamily in Transit zone district, Age restricted communities (55+)</t>
  </si>
  <si>
    <t>Non-Residential</t>
  </si>
  <si>
    <t>NON-RESIDENTIAL PERFORMANCE STANDARD</t>
  </si>
  <si>
    <t>Non-residential SF</t>
  </si>
  <si>
    <t>Source:  Technical Support Document: Social Cost of Carbon, Methane, and Nitrous Oxide Interim Estimates under Executive Order 13990 (Feb 2021)</t>
  </si>
  <si>
    <t>YES</t>
  </si>
  <si>
    <t>NO</t>
  </si>
  <si>
    <t>Total projected annual waste CO2 emissions</t>
  </si>
  <si>
    <t>Emissions (mT CO2e)</t>
  </si>
  <si>
    <t>Source</t>
  </si>
  <si>
    <t>American Community Survey - Census Bureau</t>
  </si>
  <si>
    <t>Colorado average 2016-2021</t>
  </si>
  <si>
    <t>2020 HOUSING TYPE DATA</t>
  </si>
  <si>
    <t>Source: 2020 American Community Survey 5-Year Estimates</t>
  </si>
  <si>
    <t>Google Environmental Insights Explorer (updated May 2022)</t>
  </si>
  <si>
    <t xml:space="preserve">Electricity Grid Discount Factor </t>
  </si>
  <si>
    <t>Latest published data year (Year 1)</t>
  </si>
  <si>
    <t>Year 10 (Final Fee Year)</t>
  </si>
  <si>
    <t>Projected Natural Gas Use Reduction:</t>
  </si>
  <si>
    <t>2. BASELINE PROJECTED EMISSIONS</t>
  </si>
  <si>
    <t>4. FINAL PROJECTED EMISSIONS</t>
  </si>
  <si>
    <t>Total Emissions Mitigated, Electricity</t>
  </si>
  <si>
    <t>Total Emissions Mitigated, Natural Gas</t>
  </si>
  <si>
    <t>Total Emissions Mitigated, Waste</t>
  </si>
  <si>
    <t>Total Emissions Mitigated, Transportation</t>
  </si>
  <si>
    <t>TOTAL EMISSIONS MITIGATED</t>
  </si>
  <si>
    <t>Final Projected Emissions, Electricity</t>
  </si>
  <si>
    <t>Final Projected Emissions, Natural Gas</t>
  </si>
  <si>
    <t>Final Projected Emissions, Waste</t>
  </si>
  <si>
    <t>5. EMISSIONS ABOVE PERFORMANCE STANDARD</t>
  </si>
  <si>
    <t>Energy - Electricity</t>
  </si>
  <si>
    <t>Energy - Natural Gas</t>
  </si>
  <si>
    <t>Annual Performance Standard Emissions, Energy (Electricity):</t>
  </si>
  <si>
    <t>Annual Performance Standard Emissions, Energy (Natural Gas):</t>
  </si>
  <si>
    <t>6. FEE IN LIEU</t>
  </si>
  <si>
    <t>Social Cost of Carbon</t>
  </si>
  <si>
    <t>FEE IN LIEU, Subtotal</t>
  </si>
  <si>
    <t>FEE in LIEU, TOTAL</t>
  </si>
  <si>
    <t>Electricity Grid Discount</t>
  </si>
  <si>
    <t>TOTAL BASELINE PROJECTED EMISSIONS</t>
  </si>
  <si>
    <t>2021 Xcel Community Report - Climate Registry Protocol estimate</t>
  </si>
  <si>
    <t>% Electricity Emissions of Total Final Projected Emissions</t>
  </si>
  <si>
    <t>TOTAL EMISSIONS MITIGATED, TOTAL</t>
  </si>
  <si>
    <t>FINAL PROJECTED EMISSIONS, TOTAL</t>
  </si>
  <si>
    <t>EMISSIONS ABOVE PERFORMANCE STANDARD, TOTAL</t>
  </si>
  <si>
    <t>The "Performance Standard" is the maximum allowable annual greenhouse gas emissions (energy, transportation, waste) associated with the project</t>
  </si>
  <si>
    <t>The "Baseline Projected Emissions" are the projected annual greenhouse gas emissions without any proposed mitigation measures</t>
  </si>
  <si>
    <t xml:space="preserve">3. MITIGATED EMISSIONS </t>
  </si>
  <si>
    <t>470 S Allison Parkway, Lakewood CO 80226</t>
  </si>
  <si>
    <t>Mitigated Emissions are the projected annual emissions reductions associated with selected mitigation measures. Mitigation measures are inputted in the "Mitigated Emissions Input" tab</t>
  </si>
  <si>
    <t>The "Final Projected Emissions" are the Baseline Projected Emissions minus the Mitigated Emissions. If an approved Energy Model is submitted, the projected energy will be incorporated into the "Final Projected Emissions"</t>
  </si>
  <si>
    <t>These highlighted cells are outputs to the "Applicant Input &amp; Summary" tab</t>
  </si>
  <si>
    <r>
      <t xml:space="preserve">Mitigation Measure: </t>
    </r>
    <r>
      <rPr>
        <b/>
        <sz val="11"/>
        <color theme="1"/>
        <rFont val="Calibri"/>
        <family val="2"/>
        <scheme val="minor"/>
      </rPr>
      <t>Renewable Electricity - Onsite (Solar PV, Wind)</t>
    </r>
  </si>
  <si>
    <r>
      <t xml:space="preserve">Mitigation Measure: </t>
    </r>
    <r>
      <rPr>
        <b/>
        <sz val="11"/>
        <color theme="1"/>
        <rFont val="Calibri"/>
        <family val="2"/>
        <scheme val="minor"/>
      </rPr>
      <t>Renewable Electricity - Offsite (Solar PV / Wind)</t>
    </r>
  </si>
  <si>
    <r>
      <t xml:space="preserve">Mitigation Measure: </t>
    </r>
    <r>
      <rPr>
        <b/>
        <sz val="11"/>
        <color theme="1"/>
        <rFont val="Calibri"/>
        <family val="2"/>
        <scheme val="minor"/>
      </rPr>
      <t>Renewable Energy Systems (not including Solar PV/Wind)</t>
    </r>
  </si>
  <si>
    <r>
      <t xml:space="preserve">Mitigation Measure: </t>
    </r>
    <r>
      <rPr>
        <b/>
        <sz val="11"/>
        <color theme="1"/>
        <rFont val="Calibri"/>
        <family val="2"/>
        <scheme val="minor"/>
      </rPr>
      <t>Building Electrification</t>
    </r>
  </si>
  <si>
    <r>
      <t xml:space="preserve">Mitigation Measure: </t>
    </r>
    <r>
      <rPr>
        <b/>
        <sz val="11"/>
        <color theme="1"/>
        <rFont val="Calibri"/>
        <family val="2"/>
        <scheme val="minor"/>
      </rPr>
      <t>Recycling and Composting Contracts</t>
    </r>
  </si>
  <si>
    <r>
      <t xml:space="preserve">Mitigation Measure: </t>
    </r>
    <r>
      <rPr>
        <b/>
        <sz val="11"/>
        <color theme="1"/>
        <rFont val="Calibri"/>
        <family val="2"/>
        <scheme val="minor"/>
      </rPr>
      <t>EV Parking Above Code</t>
    </r>
  </si>
  <si>
    <t>Projected Electricity Percent Offset:</t>
  </si>
  <si>
    <t>Proposed Electricity CO2e Mitigation:</t>
  </si>
  <si>
    <t>Proposed Natural Gas CO2e Mitigation:</t>
  </si>
  <si>
    <t>Projected Electricity Use Reduction:</t>
  </si>
  <si>
    <t>Lakewood Project 1234</t>
  </si>
  <si>
    <t>If the "Emissions Above Performance Standard" equals zero, the project is in compliance. Otherwise, a fee-in-lieu of compliance is required.</t>
  </si>
  <si>
    <t>The "Fee in Lieu" is the fee in lieu of complicance and represents 10 years' worth of GHG emissions above the performance standard, based on the social cost of carbon.</t>
  </si>
  <si>
    <t>Proposed Waste Emissions Mitigation:</t>
  </si>
  <si>
    <t>Proposed Transportation Emissions Mitigation:</t>
  </si>
  <si>
    <t>This tab presents detailed calculations used to determine emissions and applicable fees.</t>
  </si>
  <si>
    <t>This tab presents source data information for the Performance Standard.</t>
  </si>
  <si>
    <t>Social Cost of Carbon: Cost per metric ton of CO2e</t>
  </si>
  <si>
    <t>This tab present electricity and natural gas use data used to calculate projected energy.</t>
  </si>
  <si>
    <t>This tab presents data used to calculated projected waste emissions.</t>
  </si>
  <si>
    <t>This tab presents data used to calculate projected transportation emissions.</t>
  </si>
  <si>
    <t>This tab presents the standard values used to complete calculations in the worksheet.</t>
  </si>
  <si>
    <t>Xcel grid carbon equivalency projections for electricity</t>
  </si>
  <si>
    <t>Waste Emissions Data</t>
  </si>
  <si>
    <t>Number of Parking Spaces with Above Code EV Charging</t>
  </si>
  <si>
    <t xml:space="preserve">Food sales </t>
  </si>
  <si>
    <t xml:space="preserve">Food service </t>
  </si>
  <si>
    <t>Health care - General</t>
  </si>
  <si>
    <t xml:space="preserve">Healthcare - Inpatient </t>
  </si>
  <si>
    <t xml:space="preserve">Healthcare - Outpatient </t>
  </si>
  <si>
    <t xml:space="preserve">Lodging </t>
  </si>
  <si>
    <t xml:space="preserve">Mercantile </t>
  </si>
  <si>
    <t xml:space="preserve">Mercantile - Retail (other than mall) </t>
  </si>
  <si>
    <t xml:space="preserve">Mercantile - Enclosed and strip malls </t>
  </si>
  <si>
    <t xml:space="preserve">Office </t>
  </si>
  <si>
    <t>Parking structure (standalone, partially enclosed)</t>
  </si>
  <si>
    <t>Source: 2012 CBECS (filtered for very cold/cold climate region)</t>
  </si>
  <si>
    <t>Sector Type: Energy</t>
  </si>
  <si>
    <t>Sector Type: Waste</t>
  </si>
  <si>
    <t>Sector Type: Transportation</t>
  </si>
  <si>
    <t>Mitigation Emissions Input Worksheet - Non-Residential</t>
  </si>
  <si>
    <t>Source (Parking structure): Energy Star Portfolio Manager Technical Reference</t>
  </si>
  <si>
    <t>For questions, contact pod@lakewood.org</t>
  </si>
  <si>
    <r>
      <rPr>
        <u/>
        <sz val="12"/>
        <color theme="1"/>
        <rFont val="Calibri"/>
        <family val="2"/>
        <scheme val="minor"/>
      </rPr>
      <t>Instructions</t>
    </r>
    <r>
      <rPr>
        <sz val="12"/>
        <color theme="1"/>
        <rFont val="Calibri"/>
        <family val="2"/>
        <scheme val="minor"/>
      </rPr>
      <t xml:space="preserve">
Enter in the project information in the highlighted boxes below. If mitigation measures are being implemented, also fill in the "Mitigated Emissions Input" tab highlighted in green below. All other tabs are provided for reference only. For detailed instructions, refer to the "GHG Mitigation Program Resource Guide" on the Sustainable Development Standards website (lakewood.org/sustainabledevelopment).</t>
    </r>
  </si>
  <si>
    <t>Greenhouse Gas Mitigation Program Applicant Worksheet - Non-Residential (updated 7/29/22)</t>
  </si>
  <si>
    <r>
      <rPr>
        <u/>
        <sz val="12"/>
        <color theme="1"/>
        <rFont val="Calibri"/>
        <family val="2"/>
        <scheme val="minor"/>
      </rPr>
      <t>Instructions</t>
    </r>
    <r>
      <rPr>
        <sz val="12"/>
        <color theme="1"/>
        <rFont val="Calibri"/>
        <family val="2"/>
        <scheme val="minor"/>
      </rPr>
      <t xml:space="preserve">
Enter in requested information in the highlighted boxes for each applicable proposed mitigation measure. If a measure is not being used, leave that section blank. For detailed instructions and documentation requirements, refer to the "GHG Mitigation Program Resource Guide" (lakewood.org/sustainabledevelopment).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</si>
</sst>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0.0"/>
    <numFmt numFmtId="166" formatCode="_(* #,##0_);_(* \(#,##0\);_(* &quot;-&quot;??_);_(@_)"/>
    <numFmt numFmtId="167" formatCode="0.00000"/>
    <numFmt numFmtId="168" formatCode="_(* #,##0.00000_);_(* \(#,##0.00000\);_(* &quot;-&quot;??_);_(@_)"/>
    <numFmt numFmtId="169" formatCode="_(* #,##0.000_);_(* \(#,##0.000\);_(* &quot;-&quot;??_);_(@_)"/>
    <numFmt numFmtId="170" formatCode="0.000"/>
    <numFmt numFmtId="171" formatCode="0.0000"/>
    <numFmt numFmtId="172" formatCode="0.000000"/>
    <numFmt numFmtId="173" formatCode="0.0%"/>
    <numFmt numFmtId="174" formatCode="_(&quot;$&quot;* #,##0_);_(&quot;$&quot;* \(#,##0\);_(&quot;$&quot;* &quot;-&quot;??_);_(@_)"/>
  </numFmts>
  <fonts count="31" x14ac:knownFonts="1">
    <font>
      <sz val="11"/>
      <color theme="1"/>
      <name val="Calibri"/>
      <family val="2"/>
      <scheme val="minor"/>
    </font>
    <font>
      <sz val="11"/>
      <color theme="1"/>
      <name val="Calibri"/>
      <family val="2"/>
      <scheme val="minor"/>
    </font>
    <font>
      <b/>
      <sz val="12"/>
      <color theme="4"/>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1"/>
      <color theme="1"/>
      <name val="Calibri"/>
      <family val="2"/>
      <scheme val="minor"/>
    </font>
    <font>
      <b/>
      <sz val="14"/>
      <color theme="1"/>
      <name val="Calibri"/>
      <family val="2"/>
      <scheme val="minor"/>
    </font>
    <font>
      <sz val="12"/>
      <color theme="1"/>
      <name val="Calibri"/>
      <family val="2"/>
      <scheme val="minor"/>
    </font>
    <font>
      <u/>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9" tint="0.39997558519241921"/>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31">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ck">
        <color theme="4"/>
      </bottom>
      <diagonal/>
    </border>
    <border>
      <left/>
      <right/>
      <top/>
      <bottom style="thin">
        <color theme="0" tint="-0.24994659260841701"/>
      </bottom>
      <diagonal/>
    </border>
    <border>
      <left/>
      <right/>
      <top/>
      <bottom style="dashed">
        <color theme="0" tint="-0.24994659260841701"/>
      </bottom>
      <diagonal/>
    </border>
    <border>
      <left/>
      <right/>
      <top/>
      <bottom style="thin">
        <color theme="0" tint="-0.249977111117893"/>
      </bottom>
      <diagonal/>
    </border>
    <border>
      <left/>
      <right/>
      <top style="medium">
        <color theme="4"/>
      </top>
      <bottom/>
      <diagonal/>
    </border>
    <border>
      <left style="thick">
        <color theme="0"/>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tint="-9.9978637043366805E-2"/>
      </left>
      <right style="thin">
        <color theme="2" tint="-9.9978637043366805E-2"/>
      </right>
      <top style="thin">
        <color theme="2" tint="-9.9978637043366805E-2"/>
      </top>
      <bottom/>
      <diagonal/>
    </border>
    <border>
      <left/>
      <right style="thin">
        <color theme="2" tint="-9.9978637043366805E-2"/>
      </right>
      <top style="thin">
        <color theme="2" tint="-9.9978637043366805E-2"/>
      </top>
      <bottom style="thin">
        <color theme="2" tint="-9.9978637043366805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9.9978637043366805E-2"/>
      </left>
      <right style="thin">
        <color theme="2" tint="-9.9978637043366805E-2"/>
      </right>
      <top/>
      <bottom style="medium">
        <color indexed="64"/>
      </bottom>
      <diagonal/>
    </border>
  </borders>
  <cellStyleXfs count="51">
    <xf numFmtId="0" fontId="0" fillId="0" borderId="0"/>
    <xf numFmtId="43" fontId="1" fillId="0" borderId="0" applyFont="0" applyFill="0" applyBorder="0" applyAlignment="0" applyProtection="0"/>
    <xf numFmtId="0" fontId="2" fillId="0" borderId="0" applyNumberFormat="0" applyProtection="0">
      <alignment horizontal="left"/>
    </xf>
    <xf numFmtId="0" fontId="4" fillId="0" borderId="2" applyNumberFormat="0" applyProtection="0">
      <alignment wrapText="1"/>
    </xf>
    <xf numFmtId="0" fontId="5" fillId="0" borderId="4" applyNumberFormat="0" applyFont="0" applyProtection="0">
      <alignment wrapText="1"/>
    </xf>
    <xf numFmtId="0" fontId="4" fillId="0" borderId="5" applyNumberFormat="0" applyProtection="0">
      <alignment wrapText="1"/>
    </xf>
    <xf numFmtId="0" fontId="5" fillId="0" borderId="6" applyNumberFormat="0" applyProtection="0">
      <alignment vertical="top" wrapText="1"/>
    </xf>
    <xf numFmtId="0" fontId="7"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2" fillId="0" borderId="2" applyNumberFormat="0" applyFill="0" applyAlignment="0" applyProtection="0"/>
    <xf numFmtId="0" fontId="13" fillId="0" borderId="12" applyNumberFormat="0" applyFill="0" applyAlignment="0" applyProtection="0"/>
    <xf numFmtId="0" fontId="14" fillId="0" borderId="13"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14" applyNumberFormat="0" applyAlignment="0" applyProtection="0"/>
    <xf numFmtId="0" fontId="19" fillId="8" borderId="15" applyNumberFormat="0" applyAlignment="0" applyProtection="0"/>
    <xf numFmtId="0" fontId="20" fillId="8" borderId="14" applyNumberFormat="0" applyAlignment="0" applyProtection="0"/>
    <xf numFmtId="0" fontId="21" fillId="0" borderId="16" applyNumberFormat="0" applyFill="0" applyAlignment="0" applyProtection="0"/>
    <xf numFmtId="0" fontId="22" fillId="9" borderId="17" applyNumberFormat="0" applyAlignment="0" applyProtection="0"/>
    <xf numFmtId="0" fontId="23" fillId="0" borderId="0" applyNumberFormat="0" applyFill="0" applyBorder="0" applyAlignment="0" applyProtection="0"/>
    <xf numFmtId="0" fontId="1" fillId="10" borderId="18" applyNumberFormat="0" applyFont="0" applyAlignment="0" applyProtection="0"/>
    <xf numFmtId="0" fontId="24" fillId="0" borderId="0" applyNumberFormat="0" applyFill="0" applyBorder="0" applyAlignment="0" applyProtection="0"/>
    <xf numFmtId="0" fontId="10" fillId="0" borderId="19" applyNumberFormat="0" applyFill="0" applyAlignment="0" applyProtection="0"/>
    <xf numFmtId="0" fontId="2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cellStyleXfs>
  <cellXfs count="148">
    <xf numFmtId="0" fontId="0" fillId="0" borderId="0" xfId="0"/>
    <xf numFmtId="0" fontId="0" fillId="0" borderId="1" xfId="0" applyBorder="1"/>
    <xf numFmtId="0" fontId="0" fillId="0" borderId="1" xfId="0" applyBorder="1" applyAlignment="1">
      <alignment horizontal="right"/>
    </xf>
    <xf numFmtId="0" fontId="2" fillId="0" borderId="0" xfId="2" applyAlignment="1">
      <alignment horizontal="left" wrapText="1"/>
    </xf>
    <xf numFmtId="0" fontId="3" fillId="0" borderId="5" xfId="5" applyFont="1" applyFill="1" applyAlignment="1">
      <alignment wrapText="1"/>
    </xf>
    <xf numFmtId="0" fontId="7" fillId="0" borderId="0" xfId="7"/>
    <xf numFmtId="0" fontId="0" fillId="0" borderId="0" xfId="0" applyFill="1"/>
    <xf numFmtId="44" fontId="0" fillId="0" borderId="0" xfId="8" applyFont="1"/>
    <xf numFmtId="0" fontId="10" fillId="0" borderId="1" xfId="0" applyFont="1" applyBorder="1"/>
    <xf numFmtId="0" fontId="0" fillId="0" borderId="0" xfId="0" applyFont="1" applyAlignment="1">
      <alignment wrapText="1"/>
    </xf>
    <xf numFmtId="0" fontId="9" fillId="3" borderId="1" xfId="0" applyFont="1" applyFill="1" applyBorder="1"/>
    <xf numFmtId="0" fontId="0" fillId="3" borderId="1" xfId="0" applyFill="1" applyBorder="1"/>
    <xf numFmtId="0" fontId="10" fillId="0" borderId="0" xfId="0" applyFont="1"/>
    <xf numFmtId="0" fontId="0" fillId="0" borderId="0" xfId="0" applyAlignment="1">
      <alignment horizontal="center"/>
    </xf>
    <xf numFmtId="0" fontId="0" fillId="0" borderId="0" xfId="0"/>
    <xf numFmtId="166" fontId="0" fillId="0" borderId="0" xfId="1" applyNumberFormat="1" applyFont="1"/>
    <xf numFmtId="0" fontId="0" fillId="0" borderId="0" xfId="0" applyFill="1" applyAlignment="1">
      <alignment horizontal="left"/>
    </xf>
    <xf numFmtId="166" fontId="0" fillId="0" borderId="0" xfId="1" applyNumberFormat="1" applyFont="1" applyFill="1"/>
    <xf numFmtId="0" fontId="0" fillId="0" borderId="0" xfId="0" applyFill="1" applyAlignment="1">
      <alignment wrapText="1"/>
    </xf>
    <xf numFmtId="0" fontId="0" fillId="0" borderId="0" xfId="0" applyAlignment="1">
      <alignment wrapText="1"/>
    </xf>
    <xf numFmtId="0" fontId="0" fillId="0" borderId="0" xfId="0" applyFill="1" applyAlignment="1">
      <alignment horizontal="center"/>
    </xf>
    <xf numFmtId="165" fontId="0" fillId="0" borderId="1" xfId="0" applyNumberFormat="1" applyBorder="1"/>
    <xf numFmtId="0" fontId="0" fillId="0" borderId="20" xfId="0" applyBorder="1"/>
    <xf numFmtId="0" fontId="0" fillId="0" borderId="1" xfId="0" applyBorder="1" applyAlignment="1">
      <alignment horizontal="right" indent="1"/>
    </xf>
    <xf numFmtId="0" fontId="0" fillId="0" borderId="21" xfId="0" applyBorder="1"/>
    <xf numFmtId="0" fontId="0" fillId="0" borderId="8" xfId="0" applyBorder="1"/>
    <xf numFmtId="0" fontId="0" fillId="0" borderId="8" xfId="0" applyFill="1" applyBorder="1"/>
    <xf numFmtId="0" fontId="0" fillId="0" borderId="8" xfId="0" applyBorder="1" applyAlignment="1">
      <alignment horizontal="center"/>
    </xf>
    <xf numFmtId="3" fontId="0" fillId="0" borderId="8" xfId="0" applyNumberFormat="1" applyBorder="1" applyAlignment="1">
      <alignment horizontal="center"/>
    </xf>
    <xf numFmtId="2" fontId="0" fillId="0" borderId="8" xfId="0" applyNumberFormat="1" applyBorder="1" applyAlignment="1">
      <alignment horizontal="center"/>
    </xf>
    <xf numFmtId="170" fontId="0" fillId="0" borderId="8" xfId="0" applyNumberFormat="1" applyBorder="1" applyAlignment="1">
      <alignment horizontal="center"/>
    </xf>
    <xf numFmtId="4" fontId="0" fillId="0" borderId="8" xfId="0" applyNumberFormat="1" applyBorder="1" applyAlignment="1">
      <alignment horizontal="center"/>
    </xf>
    <xf numFmtId="171" fontId="0" fillId="0" borderId="8" xfId="0" applyNumberFormat="1" applyBorder="1" applyAlignment="1">
      <alignment horizontal="center"/>
    </xf>
    <xf numFmtId="167" fontId="0" fillId="0" borderId="8" xfId="0" applyNumberFormat="1" applyBorder="1" applyAlignment="1">
      <alignment horizontal="center"/>
    </xf>
    <xf numFmtId="172" fontId="0" fillId="0" borderId="8" xfId="0" applyNumberFormat="1" applyBorder="1" applyAlignment="1">
      <alignment horizontal="center"/>
    </xf>
    <xf numFmtId="0" fontId="0" fillId="0" borderId="8" xfId="0" applyBorder="1" applyAlignment="1">
      <alignment horizontal="center" vertical="center" wrapText="1"/>
    </xf>
    <xf numFmtId="0" fontId="0" fillId="0" borderId="8" xfId="0" applyBorder="1" applyAlignment="1">
      <alignment horizontal="center" vertical="center"/>
    </xf>
    <xf numFmtId="1" fontId="0" fillId="0" borderId="8" xfId="0" applyNumberFormat="1" applyBorder="1" applyAlignment="1">
      <alignment horizontal="center" vertical="center"/>
    </xf>
    <xf numFmtId="0" fontId="0" fillId="0" borderId="8" xfId="0" applyBorder="1" applyAlignment="1">
      <alignment horizontal="center" wrapText="1"/>
    </xf>
    <xf numFmtId="39" fontId="0" fillId="0" borderId="8" xfId="0" applyNumberFormat="1" applyBorder="1"/>
    <xf numFmtId="37" fontId="0" fillId="0" borderId="8" xfId="0" applyNumberFormat="1" applyBorder="1"/>
    <xf numFmtId="166" fontId="0" fillId="0" borderId="8" xfId="1" applyNumberFormat="1" applyFont="1" applyBorder="1"/>
    <xf numFmtId="0" fontId="0" fillId="0" borderId="8" xfId="0" applyBorder="1" applyAlignment="1">
      <alignment horizontal="center"/>
    </xf>
    <xf numFmtId="43" fontId="17" fillId="6" borderId="0" xfId="17" applyNumberFormat="1"/>
    <xf numFmtId="0" fontId="17" fillId="6" borderId="0" xfId="17"/>
    <xf numFmtId="2" fontId="0" fillId="0" borderId="8" xfId="0" applyNumberFormat="1" applyBorder="1" applyAlignment="1">
      <alignment horizontal="center" vertical="center"/>
    </xf>
    <xf numFmtId="0" fontId="0" fillId="0" borderId="22" xfId="0" applyBorder="1"/>
    <xf numFmtId="0" fontId="0" fillId="0" borderId="23" xfId="0" applyBorder="1"/>
    <xf numFmtId="0" fontId="0" fillId="0" borderId="24" xfId="0" applyBorder="1"/>
    <xf numFmtId="0" fontId="0" fillId="0" borderId="25" xfId="0" applyBorder="1"/>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3" fillId="0" borderId="3" xfId="0" applyFont="1" applyBorder="1" applyAlignment="1">
      <alignment horizontal="left" wrapText="1"/>
    </xf>
    <xf numFmtId="0" fontId="3" fillId="0" borderId="7" xfId="0" applyFont="1" applyBorder="1" applyAlignment="1">
      <alignment horizontal="center" wrapText="1"/>
    </xf>
    <xf numFmtId="164" fontId="3" fillId="0" borderId="5" xfId="5" applyNumberFormat="1" applyFont="1" applyAlignment="1">
      <alignment horizontal="center" wrapText="1"/>
    </xf>
    <xf numFmtId="165" fontId="3" fillId="0" borderId="5" xfId="5" applyNumberFormat="1" applyFont="1" applyAlignment="1">
      <alignment horizontal="center" wrapText="1"/>
    </xf>
    <xf numFmtId="164" fontId="6" fillId="0" borderId="4" xfId="4" applyNumberFormat="1" applyFont="1" applyAlignment="1">
      <alignment horizontal="center" wrapText="1"/>
    </xf>
    <xf numFmtId="165" fontId="6" fillId="0" borderId="4" xfId="4" applyNumberFormat="1" applyFont="1" applyAlignment="1">
      <alignment horizontal="center" wrapText="1"/>
    </xf>
    <xf numFmtId="173" fontId="0" fillId="0" borderId="0" xfId="9" applyNumberFormat="1" applyFont="1" applyBorder="1"/>
    <xf numFmtId="0" fontId="0" fillId="0" borderId="27" xfId="0" applyFill="1" applyBorder="1"/>
    <xf numFmtId="0" fontId="0" fillId="0" borderId="25" xfId="0" applyFill="1" applyBorder="1"/>
    <xf numFmtId="43" fontId="0" fillId="0" borderId="0" xfId="0" applyNumberFormat="1" applyBorder="1"/>
    <xf numFmtId="173" fontId="0" fillId="0" borderId="0" xfId="0" applyNumberFormat="1" applyBorder="1"/>
    <xf numFmtId="165" fontId="0" fillId="0" borderId="0" xfId="0" applyNumberFormat="1" applyFill="1" applyBorder="1"/>
    <xf numFmtId="0" fontId="0" fillId="0" borderId="1" xfId="0" applyFill="1" applyBorder="1"/>
    <xf numFmtId="43" fontId="0" fillId="0" borderId="1" xfId="0" applyNumberFormat="1" applyBorder="1"/>
    <xf numFmtId="172" fontId="0" fillId="0" borderId="0" xfId="0" applyNumberFormat="1"/>
    <xf numFmtId="1" fontId="0" fillId="0" borderId="0" xfId="0" applyNumberFormat="1" applyAlignment="1">
      <alignment horizontal="left"/>
    </xf>
    <xf numFmtId="173" fontId="0" fillId="0" borderId="1" xfId="9" applyNumberFormat="1" applyFont="1" applyBorder="1"/>
    <xf numFmtId="166" fontId="0" fillId="0" borderId="8" xfId="1" applyNumberFormat="1" applyFont="1" applyBorder="1" applyAlignment="1">
      <alignment wrapText="1"/>
    </xf>
    <xf numFmtId="166" fontId="0" fillId="0" borderId="8" xfId="0" applyNumberFormat="1" applyBorder="1" applyAlignment="1">
      <alignment wrapText="1"/>
    </xf>
    <xf numFmtId="0" fontId="0" fillId="0" borderId="8" xfId="0" applyFill="1" applyBorder="1" applyAlignment="1">
      <alignment horizontal="center" wrapText="1"/>
    </xf>
    <xf numFmtId="0" fontId="0" fillId="0" borderId="8" xfId="0" applyFont="1" applyFill="1" applyBorder="1" applyAlignment="1">
      <alignment horizontal="center" wrapText="1"/>
    </xf>
    <xf numFmtId="166" fontId="0" fillId="0" borderId="8" xfId="1" applyNumberFormat="1" applyFont="1" applyFill="1" applyBorder="1" applyAlignment="1">
      <alignment horizontal="center" wrapText="1"/>
    </xf>
    <xf numFmtId="0" fontId="0" fillId="0" borderId="8" xfId="0" applyFill="1" applyBorder="1" applyAlignment="1">
      <alignment horizontal="left"/>
    </xf>
    <xf numFmtId="166" fontId="0" fillId="0" borderId="8" xfId="1" applyNumberFormat="1" applyFont="1" applyFill="1" applyBorder="1" applyAlignment="1">
      <alignment horizontal="center"/>
    </xf>
    <xf numFmtId="43" fontId="0" fillId="0" borderId="8" xfId="1" applyNumberFormat="1" applyFont="1" applyFill="1" applyBorder="1" applyAlignment="1">
      <alignment horizontal="center"/>
    </xf>
    <xf numFmtId="166" fontId="8" fillId="0" borderId="8" xfId="1" applyNumberFormat="1" applyFont="1" applyFill="1" applyBorder="1" applyAlignment="1">
      <alignment horizontal="center"/>
    </xf>
    <xf numFmtId="169" fontId="17" fillId="6" borderId="8" xfId="17" applyNumberFormat="1" applyBorder="1" applyAlignment="1">
      <alignment horizontal="center"/>
    </xf>
    <xf numFmtId="0" fontId="0" fillId="0" borderId="8" xfId="0" applyFill="1" applyBorder="1" applyAlignment="1">
      <alignment horizontal="center"/>
    </xf>
    <xf numFmtId="168" fontId="17" fillId="6" borderId="8" xfId="17" applyNumberFormat="1" applyBorder="1" applyAlignment="1">
      <alignment horizontal="center"/>
    </xf>
    <xf numFmtId="0" fontId="0" fillId="0" borderId="8" xfId="0" applyBorder="1" applyAlignment="1">
      <alignment horizontal="left"/>
    </xf>
    <xf numFmtId="170" fontId="0" fillId="0" borderId="8" xfId="0" applyNumberFormat="1" applyBorder="1"/>
    <xf numFmtId="0" fontId="0" fillId="0" borderId="0" xfId="0" applyBorder="1" applyAlignment="1">
      <alignment horizontal="left"/>
    </xf>
    <xf numFmtId="170" fontId="0" fillId="0" borderId="0" xfId="0" applyNumberFormat="1" applyBorder="1"/>
    <xf numFmtId="170" fontId="0" fillId="0" borderId="0" xfId="0" applyNumberFormat="1"/>
    <xf numFmtId="0" fontId="0" fillId="0" borderId="0" xfId="0" applyFill="1" applyBorder="1"/>
    <xf numFmtId="174" fontId="0" fillId="0" borderId="1" xfId="8" applyNumberFormat="1" applyFont="1" applyBorder="1"/>
    <xf numFmtId="0" fontId="10" fillId="0" borderId="1" xfId="0" applyFont="1" applyBorder="1" applyAlignment="1">
      <alignment horizontal="right"/>
    </xf>
    <xf numFmtId="10" fontId="0" fillId="0" borderId="1" xfId="9" applyNumberFormat="1" applyFont="1" applyBorder="1"/>
    <xf numFmtId="0" fontId="0" fillId="0" borderId="0" xfId="0" applyAlignment="1">
      <alignment horizontal="right"/>
    </xf>
    <xf numFmtId="0" fontId="9" fillId="0" borderId="1" xfId="0" applyFont="1" applyFill="1" applyBorder="1"/>
    <xf numFmtId="0" fontId="0" fillId="0" borderId="1" xfId="0" applyFill="1" applyBorder="1" applyAlignment="1">
      <alignment horizontal="right" indent="1"/>
    </xf>
    <xf numFmtId="3" fontId="0" fillId="0" borderId="1" xfId="1" applyNumberFormat="1" applyFont="1" applyFill="1" applyBorder="1" applyAlignment="1">
      <alignment wrapText="1"/>
    </xf>
    <xf numFmtId="3" fontId="0" fillId="0" borderId="1" xfId="1" applyNumberFormat="1" applyFont="1" applyFill="1" applyBorder="1"/>
    <xf numFmtId="166" fontId="0" fillId="0" borderId="1" xfId="1" applyNumberFormat="1" applyFont="1" applyFill="1" applyBorder="1"/>
    <xf numFmtId="43" fontId="0" fillId="0" borderId="1" xfId="0" applyNumberFormat="1" applyFill="1" applyBorder="1"/>
    <xf numFmtId="43" fontId="0" fillId="0" borderId="1" xfId="1" applyNumberFormat="1" applyFont="1" applyFill="1" applyBorder="1"/>
    <xf numFmtId="174" fontId="0" fillId="3" borderId="1" xfId="8" applyNumberFormat="1" applyFont="1" applyFill="1" applyBorder="1"/>
    <xf numFmtId="0" fontId="0" fillId="0" borderId="0" xfId="0" applyFill="1" applyBorder="1" applyAlignment="1">
      <alignment horizontal="right"/>
    </xf>
    <xf numFmtId="0" fontId="0" fillId="0" borderId="0" xfId="0" applyBorder="1" applyAlignment="1">
      <alignment horizontal="right" indent="1"/>
    </xf>
    <xf numFmtId="0" fontId="10" fillId="0" borderId="0" xfId="0" applyFont="1" applyBorder="1"/>
    <xf numFmtId="0" fontId="9" fillId="0" borderId="0" xfId="0" applyFont="1" applyFill="1" applyBorder="1"/>
    <xf numFmtId="174" fontId="0" fillId="0" borderId="0" xfId="8" applyNumberFormat="1" applyFont="1" applyFill="1" applyBorder="1"/>
    <xf numFmtId="0" fontId="0" fillId="0" borderId="0" xfId="0" applyBorder="1" applyAlignment="1">
      <alignment horizontal="right"/>
    </xf>
    <xf numFmtId="173" fontId="0" fillId="0" borderId="0" xfId="9" applyNumberFormat="1" applyFont="1" applyFill="1" applyBorder="1"/>
    <xf numFmtId="0" fontId="10" fillId="0" borderId="0" xfId="0" applyFont="1" applyFill="1" applyBorder="1" applyAlignment="1">
      <alignment horizontal="right"/>
    </xf>
    <xf numFmtId="174" fontId="10" fillId="0" borderId="0" xfId="8" applyNumberFormat="1" applyFont="1" applyFill="1" applyBorder="1"/>
    <xf numFmtId="0" fontId="26" fillId="0" borderId="0" xfId="0" applyFont="1" applyBorder="1" applyAlignment="1">
      <alignment horizontal="left" wrapText="1" indent="1"/>
    </xf>
    <xf numFmtId="43" fontId="0" fillId="35" borderId="1" xfId="0" applyNumberFormat="1" applyFill="1" applyBorder="1"/>
    <xf numFmtId="2" fontId="0" fillId="3" borderId="1" xfId="0" applyNumberFormat="1" applyFill="1" applyBorder="1"/>
    <xf numFmtId="165" fontId="0" fillId="0" borderId="30" xfId="0" applyNumberFormat="1" applyFill="1" applyBorder="1"/>
    <xf numFmtId="2" fontId="0" fillId="0" borderId="28" xfId="0" applyNumberFormat="1" applyFill="1" applyBorder="1"/>
    <xf numFmtId="2" fontId="0" fillId="0" borderId="0" xfId="0" applyNumberFormat="1" applyFill="1" applyBorder="1"/>
    <xf numFmtId="0" fontId="0" fillId="0" borderId="27" xfId="0" applyBorder="1" applyAlignment="1">
      <alignment horizontal="left"/>
    </xf>
    <xf numFmtId="0" fontId="0" fillId="35" borderId="1" xfId="0" applyFill="1" applyBorder="1"/>
    <xf numFmtId="0" fontId="0" fillId="2" borderId="8" xfId="0" applyFill="1" applyBorder="1" applyProtection="1">
      <protection locked="0"/>
    </xf>
    <xf numFmtId="0" fontId="0" fillId="2" borderId="8" xfId="0" applyFill="1" applyBorder="1" applyAlignment="1" applyProtection="1">
      <alignment wrapText="1"/>
      <protection locked="0"/>
    </xf>
    <xf numFmtId="3" fontId="0" fillId="2" borderId="8" xfId="1" applyNumberFormat="1" applyFont="1" applyFill="1" applyBorder="1" applyAlignment="1" applyProtection="1">
      <alignment wrapText="1"/>
      <protection locked="0"/>
    </xf>
    <xf numFmtId="3" fontId="0" fillId="2" borderId="8" xfId="1" applyNumberFormat="1" applyFont="1" applyFill="1" applyBorder="1" applyProtection="1">
      <protection locked="0"/>
    </xf>
    <xf numFmtId="165" fontId="0" fillId="0" borderId="28" xfId="0" applyNumberFormat="1" applyFill="1" applyBorder="1"/>
    <xf numFmtId="3" fontId="0" fillId="0" borderId="0" xfId="0" applyNumberFormat="1" applyBorder="1"/>
    <xf numFmtId="0" fontId="7" fillId="0" borderId="0" xfId="7" applyFill="1"/>
    <xf numFmtId="3" fontId="0" fillId="2" borderId="8" xfId="0" applyNumberFormat="1" applyFill="1" applyBorder="1" applyProtection="1">
      <protection locked="0"/>
    </xf>
    <xf numFmtId="0" fontId="6" fillId="0" borderId="4" xfId="4" applyFont="1">
      <alignment wrapText="1"/>
    </xf>
    <xf numFmtId="0" fontId="6" fillId="0" borderId="4" xfId="4" applyFont="1" applyAlignment="1">
      <alignment horizontal="left" wrapText="1" indent="1"/>
    </xf>
    <xf numFmtId="0" fontId="6" fillId="0" borderId="0" xfId="4" applyFont="1" applyBorder="1">
      <alignment wrapText="1"/>
    </xf>
    <xf numFmtId="0" fontId="26" fillId="0" borderId="25" xfId="0" applyFont="1" applyBorder="1"/>
    <xf numFmtId="0" fontId="26" fillId="0" borderId="0" xfId="0" applyFont="1" applyBorder="1"/>
    <xf numFmtId="0" fontId="26" fillId="0" borderId="0" xfId="0" applyFont="1" applyBorder="1" applyAlignment="1">
      <alignment horizontal="left" wrapText="1" indent="2"/>
    </xf>
    <xf numFmtId="3" fontId="0" fillId="0" borderId="9" xfId="1" applyNumberFormat="1" applyFont="1" applyBorder="1" applyAlignment="1">
      <alignment horizontal="center" vertical="center"/>
    </xf>
    <xf numFmtId="3" fontId="0" fillId="0" borderId="10" xfId="1" applyNumberFormat="1" applyFont="1" applyBorder="1" applyAlignment="1">
      <alignment horizontal="center" vertical="center"/>
    </xf>
    <xf numFmtId="3" fontId="0" fillId="0" borderId="11" xfId="1" applyNumberFormat="1" applyFont="1" applyBorder="1" applyAlignment="1">
      <alignment horizontal="center" vertical="center"/>
    </xf>
    <xf numFmtId="173" fontId="0" fillId="0" borderId="9" xfId="9" applyNumberFormat="1" applyFont="1" applyBorder="1" applyAlignment="1">
      <alignment horizontal="center" vertical="center" wrapText="1"/>
    </xf>
    <xf numFmtId="173" fontId="0" fillId="0" borderId="10" xfId="9" applyNumberFormat="1" applyFont="1" applyBorder="1" applyAlignment="1">
      <alignment horizontal="center" vertical="center" wrapText="1"/>
    </xf>
    <xf numFmtId="173" fontId="0" fillId="0" borderId="11" xfId="9" applyNumberFormat="1" applyFont="1" applyBorder="1" applyAlignment="1">
      <alignment horizontal="center" vertical="center" wrapText="1"/>
    </xf>
    <xf numFmtId="173" fontId="0" fillId="0" borderId="9" xfId="9" applyNumberFormat="1" applyFont="1" applyBorder="1" applyAlignment="1">
      <alignment horizontal="center" vertical="center"/>
    </xf>
    <xf numFmtId="173" fontId="0" fillId="0" borderId="10" xfId="9" applyNumberFormat="1" applyFont="1" applyBorder="1" applyAlignment="1">
      <alignment horizontal="center" vertical="center"/>
    </xf>
    <xf numFmtId="173" fontId="0" fillId="0" borderId="11" xfId="9" applyNumberFormat="1" applyFont="1" applyBorder="1" applyAlignment="1">
      <alignment horizontal="center" vertical="center"/>
    </xf>
    <xf numFmtId="0" fontId="0" fillId="0" borderId="0" xfId="0" applyAlignment="1">
      <alignment horizontal="right"/>
    </xf>
    <xf numFmtId="0" fontId="27" fillId="0" borderId="0" xfId="0" applyFont="1" applyBorder="1"/>
    <xf numFmtId="0" fontId="28" fillId="0" borderId="0" xfId="0" applyFont="1" applyFill="1" applyBorder="1" applyAlignment="1">
      <alignment wrapText="1"/>
    </xf>
    <xf numFmtId="0" fontId="30" fillId="0" borderId="0" xfId="0" applyFont="1" applyBorder="1"/>
    <xf numFmtId="0" fontId="28" fillId="0" borderId="0" xfId="0" applyFont="1" applyAlignment="1">
      <alignment wrapText="1"/>
    </xf>
    <xf numFmtId="0" fontId="27" fillId="0" borderId="0" xfId="0" applyFont="1"/>
  </cellXfs>
  <cellStyles count="51">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Body: normal cell" xfId="4" xr:uid="{00000000-0005-0000-0000-000019000000}"/>
    <cellStyle name="Calculation" xfId="20" builtinId="22" customBuiltin="1"/>
    <cellStyle name="Check Cell" xfId="22" builtinId="23" customBuiltin="1"/>
    <cellStyle name="Comma" xfId="1" builtinId="3"/>
    <cellStyle name="Currency" xfId="8" builtinId="4"/>
    <cellStyle name="Explanatory Text" xfId="25" builtinId="53" customBuiltin="1"/>
    <cellStyle name="Footnotes: top row" xfId="6" xr:uid="{00000000-0005-0000-0000-00001F000000}"/>
    <cellStyle name="Good" xfId="15" builtinId="26" customBuiltin="1"/>
    <cellStyle name="Header: bottom row" xfId="3" xr:uid="{00000000-0005-0000-0000-000021000000}"/>
    <cellStyle name="Heading 1" xfId="11" builtinId="16" customBuiltin="1"/>
    <cellStyle name="Heading 2" xfId="12" builtinId="17" customBuiltin="1"/>
    <cellStyle name="Heading 3" xfId="13" builtinId="18" customBuiltin="1"/>
    <cellStyle name="Heading 4" xfId="14" builtinId="19" customBuiltin="1"/>
    <cellStyle name="Hyperlink" xfId="7" builtinId="8"/>
    <cellStyle name="Input" xfId="18" builtinId="20" customBuiltin="1"/>
    <cellStyle name="Linked Cell" xfId="21" builtinId="24" customBuiltin="1"/>
    <cellStyle name="Neutral" xfId="17" builtinId="28" customBuiltin="1"/>
    <cellStyle name="Normal" xfId="0" builtinId="0"/>
    <cellStyle name="Note" xfId="24" builtinId="10" customBuiltin="1"/>
    <cellStyle name="Output" xfId="19" builtinId="21" customBuiltin="1"/>
    <cellStyle name="Parent row" xfId="5" xr:uid="{00000000-0005-0000-0000-00002D000000}"/>
    <cellStyle name="Percent" xfId="9" builtinId="5"/>
    <cellStyle name="Table title" xfId="2" xr:uid="{00000000-0005-0000-0000-00002F000000}"/>
    <cellStyle name="Title" xfId="10" builtinId="15" customBuiltin="1"/>
    <cellStyle name="Total" xfId="26" builtinId="25" customBuiltin="1"/>
    <cellStyle name="Warning Text" xfId="2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ergystar.gov/sites/default/files/tools/Parking_August_2018_EN_508.pdf" TargetMode="External"/><Relationship Id="rId1" Type="http://schemas.openxmlformats.org/officeDocument/2006/relationships/hyperlink" Target="https://www.eia.gov/consumption/commercial/data/2012/"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lakewood.org/files/assets/public/planning/sustainability/2018-ghg-emissions-inventory-summary-report.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xcelenergy.com/community_energy_reports" TargetMode="External"/><Relationship Id="rId2" Type="http://schemas.openxmlformats.org/officeDocument/2006/relationships/hyperlink" Target="https://www.xcelenergy.com/community_energy_reports" TargetMode="External"/><Relationship Id="rId1" Type="http://schemas.openxmlformats.org/officeDocument/2006/relationships/hyperlink" Target="https://www.eia.gov/dnav/ng/ng_cons_heat_a_EPG0_VGTH_btucf_a.htm"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923C-EC47-4B01-9987-F231AA9E86E1}">
  <sheetPr>
    <tabColor theme="9"/>
    <pageSetUpPr fitToPage="1"/>
  </sheetPr>
  <dimension ref="A1:F30"/>
  <sheetViews>
    <sheetView showGridLines="0" tabSelected="1" workbookViewId="0">
      <selection activeCell="A3" sqref="A3:C3"/>
    </sheetView>
  </sheetViews>
  <sheetFormatPr defaultColWidth="9.1796875" defaultRowHeight="14.5" x14ac:dyDescent="0.35"/>
  <cols>
    <col min="1" max="1" width="52" style="50" customWidth="1"/>
    <col min="2" max="2" width="37.453125" style="50" customWidth="1"/>
    <col min="3" max="3" width="9.453125" style="50" customWidth="1"/>
    <col min="4" max="4" width="57.453125" style="50" customWidth="1"/>
    <col min="5" max="5" width="14" style="50" customWidth="1"/>
    <col min="6" max="8" width="21.81640625" style="50" customWidth="1"/>
    <col min="9" max="9" width="161.26953125" style="50" bestFit="1" customWidth="1"/>
    <col min="10" max="16384" width="9.1796875" style="50"/>
  </cols>
  <sheetData>
    <row r="1" spans="1:5" ht="18.5" x14ac:dyDescent="0.45">
      <c r="A1" s="143" t="s">
        <v>214</v>
      </c>
    </row>
    <row r="2" spans="1:5" s="89" customFormat="1" x14ac:dyDescent="0.35"/>
    <row r="3" spans="1:5" s="89" customFormat="1" ht="76.5" customHeight="1" x14ac:dyDescent="0.35">
      <c r="A3" s="144" t="s">
        <v>213</v>
      </c>
      <c r="B3" s="144"/>
      <c r="C3" s="144"/>
    </row>
    <row r="4" spans="1:5" ht="15.5" x14ac:dyDescent="0.35">
      <c r="A4" s="145" t="s">
        <v>212</v>
      </c>
    </row>
    <row r="5" spans="1:5" x14ac:dyDescent="0.35">
      <c r="A5" s="131"/>
    </row>
    <row r="6" spans="1:5" ht="16.5" customHeight="1" x14ac:dyDescent="0.35">
      <c r="A6" s="103" t="s">
        <v>50</v>
      </c>
      <c r="B6" s="119" t="s">
        <v>180</v>
      </c>
    </row>
    <row r="7" spans="1:5" ht="31.5" customHeight="1" x14ac:dyDescent="0.35">
      <c r="A7" s="103" t="s">
        <v>90</v>
      </c>
      <c r="B7" s="120" t="s">
        <v>166</v>
      </c>
    </row>
    <row r="8" spans="1:5" x14ac:dyDescent="0.35">
      <c r="A8" s="103" t="s">
        <v>91</v>
      </c>
      <c r="B8" s="121" t="s">
        <v>196</v>
      </c>
    </row>
    <row r="9" spans="1:5" ht="16.5" customHeight="1" x14ac:dyDescent="0.35">
      <c r="A9" s="103" t="s">
        <v>92</v>
      </c>
      <c r="B9" s="122">
        <v>3867</v>
      </c>
      <c r="C9" s="50" t="s">
        <v>0</v>
      </c>
    </row>
    <row r="11" spans="1:5" x14ac:dyDescent="0.35">
      <c r="A11" s="104" t="s">
        <v>99</v>
      </c>
      <c r="B11" s="66">
        <f>'Calculation Details'!B16</f>
        <v>18.375277629436983</v>
      </c>
      <c r="C11" s="105" t="s">
        <v>25</v>
      </c>
      <c r="D11" s="104"/>
      <c r="E11" s="104"/>
    </row>
    <row r="12" spans="1:5" ht="30" customHeight="1" x14ac:dyDescent="0.35">
      <c r="A12" s="132" t="s">
        <v>163</v>
      </c>
      <c r="B12" s="132"/>
      <c r="C12" s="89"/>
      <c r="D12" s="104"/>
      <c r="E12" s="104"/>
    </row>
    <row r="13" spans="1:5" x14ac:dyDescent="0.35">
      <c r="A13" s="111"/>
      <c r="B13" s="89"/>
      <c r="C13" s="89"/>
      <c r="D13" s="104"/>
      <c r="E13" s="104"/>
    </row>
    <row r="14" spans="1:5" x14ac:dyDescent="0.35">
      <c r="A14" s="104" t="s">
        <v>137</v>
      </c>
      <c r="B14" s="66">
        <f>'Calculation Details'!B30</f>
        <v>100.27126592512924</v>
      </c>
      <c r="C14" s="105" t="s">
        <v>25</v>
      </c>
    </row>
    <row r="15" spans="1:5" ht="29.5" customHeight="1" x14ac:dyDescent="0.35">
      <c r="A15" s="132" t="s">
        <v>164</v>
      </c>
      <c r="B15" s="132"/>
      <c r="C15" s="89"/>
    </row>
    <row r="16" spans="1:5" x14ac:dyDescent="0.35">
      <c r="A16" s="104"/>
      <c r="B16" s="89"/>
      <c r="C16" s="89"/>
    </row>
    <row r="17" spans="1:6" x14ac:dyDescent="0.35">
      <c r="A17" s="104" t="s">
        <v>165</v>
      </c>
      <c r="B17" s="66">
        <f>'Calculation Details'!B38</f>
        <v>0</v>
      </c>
      <c r="C17" s="105" t="s">
        <v>25</v>
      </c>
    </row>
    <row r="18" spans="1:6" ht="30.65" customHeight="1" x14ac:dyDescent="0.35">
      <c r="A18" s="132" t="s">
        <v>167</v>
      </c>
      <c r="B18" s="132"/>
      <c r="C18" s="89"/>
    </row>
    <row r="19" spans="1:6" x14ac:dyDescent="0.35">
      <c r="A19" s="89"/>
      <c r="B19" s="66"/>
      <c r="C19" s="89"/>
    </row>
    <row r="20" spans="1:6" x14ac:dyDescent="0.35">
      <c r="A20" s="104" t="s">
        <v>138</v>
      </c>
      <c r="B20" s="66">
        <f>'Calculation Details'!B45</f>
        <v>100.27126592512924</v>
      </c>
      <c r="C20" s="105" t="s">
        <v>25</v>
      </c>
    </row>
    <row r="21" spans="1:6" ht="45" customHeight="1" x14ac:dyDescent="0.35">
      <c r="A21" s="132" t="s">
        <v>168</v>
      </c>
      <c r="B21" s="132"/>
      <c r="C21" s="105"/>
    </row>
    <row r="22" spans="1:6" x14ac:dyDescent="0.35">
      <c r="B22" s="89"/>
      <c r="C22" s="89"/>
    </row>
    <row r="23" spans="1:6" x14ac:dyDescent="0.35">
      <c r="A23" s="104" t="s">
        <v>147</v>
      </c>
      <c r="B23" s="66">
        <f>'Calculation Details'!B49</f>
        <v>81.895988295692263</v>
      </c>
      <c r="C23" s="105" t="s">
        <v>25</v>
      </c>
    </row>
    <row r="24" spans="1:6" ht="30.65" customHeight="1" x14ac:dyDescent="0.35">
      <c r="A24" s="132" t="s">
        <v>181</v>
      </c>
      <c r="B24" s="132"/>
      <c r="C24" s="89"/>
    </row>
    <row r="25" spans="1:6" x14ac:dyDescent="0.35">
      <c r="B25" s="89"/>
      <c r="C25" s="89"/>
      <c r="F25" s="64"/>
    </row>
    <row r="26" spans="1:6" x14ac:dyDescent="0.35">
      <c r="A26" s="104" t="s">
        <v>152</v>
      </c>
      <c r="B26" s="89"/>
      <c r="C26" s="89"/>
      <c r="F26" s="64"/>
    </row>
    <row r="27" spans="1:6" ht="30" customHeight="1" x14ac:dyDescent="0.35">
      <c r="A27" s="132" t="s">
        <v>182</v>
      </c>
      <c r="B27" s="132"/>
      <c r="C27" s="89"/>
      <c r="F27" s="64"/>
    </row>
    <row r="28" spans="1:6" x14ac:dyDescent="0.35">
      <c r="A28" s="107" t="s">
        <v>154</v>
      </c>
      <c r="B28" s="106">
        <f>'Calculation Details'!B54</f>
        <v>62240.951104726119</v>
      </c>
      <c r="C28" s="89"/>
    </row>
    <row r="29" spans="1:6" x14ac:dyDescent="0.35">
      <c r="A29" s="107" t="s">
        <v>156</v>
      </c>
      <c r="B29" s="106">
        <f>'Calculation Details'!B56</f>
        <v>-13293.747745996028</v>
      </c>
      <c r="C29" s="108"/>
    </row>
    <row r="30" spans="1:6" x14ac:dyDescent="0.35">
      <c r="A30" s="109" t="s">
        <v>155</v>
      </c>
      <c r="B30" s="110">
        <f>'Calculation Details'!B57</f>
        <v>48947.20335873009</v>
      </c>
      <c r="C30" s="89"/>
    </row>
  </sheetData>
  <sheetProtection algorithmName="SHA-512" hashValue="vuxESQEe0HxKYSfQZsfIaqY4/2zCV9igozGsYt3xEgX65CObrzUpqCiLA+JHkj3MQLJYLj4udZH5ED6iaKmKWQ==" saltValue="udhIci2wFQLZXbspJcIzIA==" spinCount="100000" sheet="1" objects="1" scenarios="1"/>
  <dataConsolidate/>
  <mergeCells count="7">
    <mergeCell ref="A3:C3"/>
    <mergeCell ref="A24:B24"/>
    <mergeCell ref="A27:B27"/>
    <mergeCell ref="A12:B12"/>
    <mergeCell ref="A15:B15"/>
    <mergeCell ref="A18:B18"/>
    <mergeCell ref="A21:B21"/>
  </mergeCells>
  <dataValidations xWindow="152" yWindow="417" count="2">
    <dataValidation allowBlank="1" showInputMessage="1" showErrorMessage="1" promptTitle="Proposed Gross Floor Area" prompt="Enter in the total gross floor area of the project, including enclosed unfinished spaces (i.e. parking garage, basement). See applicant guide for additional details." sqref="B9" xr:uid="{51F6156C-04EA-47D3-9336-38E4C509C296}"/>
    <dataValidation allowBlank="1" showInputMessage="1" showErrorMessage="1" promptTitle="Electricity Grid Discount" prompt="This discount is applied to account for the anticipated changes to Xcel Energy's electricity grid mix, where carbon emissions associated with the electricity grid are expected to decrease over time." sqref="A29:B29" xr:uid="{99B18A3D-3063-4CDC-BC57-459595BAA52B}"/>
  </dataValidations>
  <pageMargins left="0.7" right="0.7" top="0.75" bottom="0.75" header="0.3" footer="0.3"/>
  <pageSetup scale="92" orientation="portrait" r:id="rId1"/>
  <extLst>
    <ext xmlns:x14="http://schemas.microsoft.com/office/spreadsheetml/2009/9/main" uri="{CCE6A557-97BC-4b89-ADB6-D9C93CAAB3DF}">
      <x14:dataValidations xmlns:xm="http://schemas.microsoft.com/office/excel/2006/main" xWindow="152" yWindow="417" count="1">
        <x14:dataValidation type="list" allowBlank="1" showInputMessage="1" showErrorMessage="1" promptTitle="Building Type" prompt="Select the building type that most closely aligns with the proposed use." xr:uid="{FA5FB6D6-DD42-40BF-97F4-7E5EE1E7F31A}">
          <x14:formula1>
            <xm:f>'Projected Energy'!$A$4:$A$21</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7004F-B2E1-4434-A43D-9B6FC278C1FE}">
  <sheetPr>
    <tabColor theme="9"/>
  </sheetPr>
  <dimension ref="A1:C51"/>
  <sheetViews>
    <sheetView showGridLines="0" zoomScaleNormal="100" workbookViewId="0">
      <selection activeCell="E10" sqref="E10"/>
    </sheetView>
  </sheetViews>
  <sheetFormatPr defaultRowHeight="14.5" x14ac:dyDescent="0.35"/>
  <cols>
    <col min="1" max="1" width="52" customWidth="1"/>
    <col min="2" max="2" width="12" bestFit="1" customWidth="1"/>
    <col min="3" max="3" width="14.26953125" customWidth="1"/>
  </cols>
  <sheetData>
    <row r="1" spans="1:3" ht="18.5" x14ac:dyDescent="0.45">
      <c r="A1" s="147" t="s">
        <v>210</v>
      </c>
    </row>
    <row r="3" spans="1:3" ht="78" customHeight="1" x14ac:dyDescent="0.35">
      <c r="A3" s="146" t="s">
        <v>215</v>
      </c>
      <c r="B3" s="146"/>
      <c r="C3" s="146"/>
    </row>
    <row r="5" spans="1:3" x14ac:dyDescent="0.35">
      <c r="A5" t="s">
        <v>143</v>
      </c>
      <c r="B5" s="66">
        <f>B51</f>
        <v>0</v>
      </c>
      <c r="C5" t="s">
        <v>103</v>
      </c>
    </row>
    <row r="6" spans="1:3" ht="15" thickBot="1" x14ac:dyDescent="0.4"/>
    <row r="7" spans="1:3" x14ac:dyDescent="0.35">
      <c r="A7" s="46" t="s">
        <v>170</v>
      </c>
      <c r="B7" s="47"/>
      <c r="C7" s="48"/>
    </row>
    <row r="8" spans="1:3" x14ac:dyDescent="0.35">
      <c r="A8" s="130" t="s">
        <v>207</v>
      </c>
      <c r="B8" s="50"/>
      <c r="C8" s="51"/>
    </row>
    <row r="9" spans="1:3" x14ac:dyDescent="0.35">
      <c r="A9" s="49" t="s">
        <v>106</v>
      </c>
      <c r="B9" s="124">
        <f>'Calculation Details'!B20</f>
        <v>138438.59999999998</v>
      </c>
      <c r="C9" s="51" t="s">
        <v>4</v>
      </c>
    </row>
    <row r="10" spans="1:3" x14ac:dyDescent="0.35">
      <c r="A10" s="49" t="s">
        <v>109</v>
      </c>
      <c r="B10" s="126">
        <v>0</v>
      </c>
      <c r="C10" s="51" t="s">
        <v>4</v>
      </c>
    </row>
    <row r="11" spans="1:3" s="14" customFormat="1" x14ac:dyDescent="0.35">
      <c r="A11" s="49" t="s">
        <v>176</v>
      </c>
      <c r="B11" s="61">
        <f>B10/B9</f>
        <v>0</v>
      </c>
      <c r="C11" s="51"/>
    </row>
    <row r="12" spans="1:3" s="14" customFormat="1" ht="15" thickBot="1" x14ac:dyDescent="0.4">
      <c r="A12" s="117" t="s">
        <v>177</v>
      </c>
      <c r="B12" s="115">
        <f>$B$10*'Standard Values'!B8</f>
        <v>0</v>
      </c>
      <c r="C12" s="54" t="s">
        <v>111</v>
      </c>
    </row>
    <row r="13" spans="1:3" s="14" customFormat="1" ht="15" thickBot="1" x14ac:dyDescent="0.4"/>
    <row r="14" spans="1:3" x14ac:dyDescent="0.35">
      <c r="A14" s="46" t="s">
        <v>171</v>
      </c>
      <c r="B14" s="47"/>
      <c r="C14" s="48"/>
    </row>
    <row r="15" spans="1:3" s="14" customFormat="1" x14ac:dyDescent="0.35">
      <c r="A15" s="130" t="s">
        <v>207</v>
      </c>
      <c r="B15" s="50"/>
      <c r="C15" s="51"/>
    </row>
    <row r="16" spans="1:3" s="14" customFormat="1" x14ac:dyDescent="0.35">
      <c r="A16" s="49" t="s">
        <v>106</v>
      </c>
      <c r="B16" s="124">
        <f>'Calculation Details'!B20</f>
        <v>138438.59999999998</v>
      </c>
      <c r="C16" s="51" t="s">
        <v>4</v>
      </c>
    </row>
    <row r="17" spans="1:3" s="14" customFormat="1" x14ac:dyDescent="0.35">
      <c r="A17" s="49" t="s">
        <v>108</v>
      </c>
      <c r="B17" s="126">
        <v>0</v>
      </c>
      <c r="C17" s="51" t="s">
        <v>4</v>
      </c>
    </row>
    <row r="18" spans="1:3" s="14" customFormat="1" x14ac:dyDescent="0.35">
      <c r="A18" s="49" t="s">
        <v>176</v>
      </c>
      <c r="B18" s="61">
        <f>B17/B16</f>
        <v>0</v>
      </c>
      <c r="C18" s="51"/>
    </row>
    <row r="19" spans="1:3" s="14" customFormat="1" ht="15" thickBot="1" x14ac:dyDescent="0.4">
      <c r="A19" s="117" t="s">
        <v>177</v>
      </c>
      <c r="B19" s="115">
        <f>$B$17*'Standard Values'!B8</f>
        <v>0</v>
      </c>
      <c r="C19" s="54" t="s">
        <v>111</v>
      </c>
    </row>
    <row r="20" spans="1:3" s="14" customFormat="1" ht="15" thickBot="1" x14ac:dyDescent="0.4"/>
    <row r="21" spans="1:3" s="14" customFormat="1" x14ac:dyDescent="0.35">
      <c r="A21" s="46" t="s">
        <v>172</v>
      </c>
      <c r="B21" s="47"/>
      <c r="C21" s="48"/>
    </row>
    <row r="22" spans="1:3" s="14" customFormat="1" x14ac:dyDescent="0.35">
      <c r="A22" s="130" t="s">
        <v>207</v>
      </c>
      <c r="B22" s="50"/>
      <c r="C22" s="51"/>
    </row>
    <row r="23" spans="1:3" s="14" customFormat="1" x14ac:dyDescent="0.35">
      <c r="A23" s="49" t="s">
        <v>179</v>
      </c>
      <c r="B23" s="126">
        <v>0</v>
      </c>
      <c r="C23" s="51" t="s">
        <v>4</v>
      </c>
    </row>
    <row r="24" spans="1:3" s="14" customFormat="1" x14ac:dyDescent="0.35">
      <c r="A24" s="49" t="s">
        <v>177</v>
      </c>
      <c r="B24" s="116">
        <f>B23*'Standard Values'!B8</f>
        <v>0</v>
      </c>
      <c r="C24" s="51" t="s">
        <v>111</v>
      </c>
    </row>
    <row r="25" spans="1:3" s="14" customFormat="1" x14ac:dyDescent="0.35">
      <c r="A25" s="49" t="s">
        <v>136</v>
      </c>
      <c r="B25" s="126">
        <v>0</v>
      </c>
      <c r="C25" s="51" t="s">
        <v>3</v>
      </c>
    </row>
    <row r="26" spans="1:3" s="14" customFormat="1" ht="15" thickBot="1" x14ac:dyDescent="0.4">
      <c r="A26" s="52" t="s">
        <v>178</v>
      </c>
      <c r="B26" s="115">
        <f>B25*'Standard Values'!B9</f>
        <v>0</v>
      </c>
      <c r="C26" s="54" t="s">
        <v>57</v>
      </c>
    </row>
    <row r="27" spans="1:3" s="14" customFormat="1" ht="15" thickBot="1" x14ac:dyDescent="0.4">
      <c r="A27" s="52"/>
      <c r="B27" s="114"/>
      <c r="C27" s="53"/>
    </row>
    <row r="28" spans="1:3" s="14" customFormat="1" ht="15" thickBot="1" x14ac:dyDescent="0.4">
      <c r="A28" s="50"/>
      <c r="B28" s="50"/>
      <c r="C28" s="50"/>
    </row>
    <row r="29" spans="1:3" x14ac:dyDescent="0.35">
      <c r="A29" s="46" t="s">
        <v>173</v>
      </c>
      <c r="B29" s="47"/>
      <c r="C29" s="48"/>
    </row>
    <row r="30" spans="1:3" s="14" customFormat="1" x14ac:dyDescent="0.35">
      <c r="A30" s="130" t="s">
        <v>207</v>
      </c>
      <c r="B30" s="50"/>
      <c r="C30" s="51"/>
    </row>
    <row r="31" spans="1:3" s="14" customFormat="1" x14ac:dyDescent="0.35">
      <c r="A31" s="49" t="s">
        <v>114</v>
      </c>
      <c r="B31" s="119" t="s">
        <v>124</v>
      </c>
      <c r="C31" s="51"/>
    </row>
    <row r="32" spans="1:3" s="14" customFormat="1" x14ac:dyDescent="0.35">
      <c r="A32" s="49" t="s">
        <v>107</v>
      </c>
      <c r="B32" s="50">
        <f>IF(B31="YES",'Calculation Details'!B21,0)</f>
        <v>0</v>
      </c>
      <c r="C32" s="51" t="s">
        <v>3</v>
      </c>
    </row>
    <row r="33" spans="1:3" s="14" customFormat="1" ht="15" thickBot="1" x14ac:dyDescent="0.4">
      <c r="A33" s="62" t="s">
        <v>178</v>
      </c>
      <c r="B33" s="123">
        <f>B32*'Standard Values'!B9</f>
        <v>0</v>
      </c>
      <c r="C33" s="54" t="s">
        <v>111</v>
      </c>
    </row>
    <row r="34" spans="1:3" s="14" customFormat="1" ht="15" thickBot="1" x14ac:dyDescent="0.4"/>
    <row r="35" spans="1:3" x14ac:dyDescent="0.35">
      <c r="A35" s="46" t="s">
        <v>174</v>
      </c>
      <c r="B35" s="47"/>
      <c r="C35" s="48"/>
    </row>
    <row r="36" spans="1:3" s="14" customFormat="1" x14ac:dyDescent="0.35">
      <c r="A36" s="130" t="s">
        <v>208</v>
      </c>
      <c r="B36" s="50"/>
      <c r="C36" s="51"/>
    </row>
    <row r="37" spans="1:3" s="14" customFormat="1" x14ac:dyDescent="0.35">
      <c r="A37" s="49" t="s">
        <v>115</v>
      </c>
      <c r="B37" s="119" t="s">
        <v>124</v>
      </c>
      <c r="C37" s="51"/>
    </row>
    <row r="38" spans="1:3" s="14" customFormat="1" x14ac:dyDescent="0.35">
      <c r="A38" s="63" t="s">
        <v>110</v>
      </c>
      <c r="B38" s="64">
        <f>IF(B37="YES",'Calculation Details'!B28,0)</f>
        <v>0</v>
      </c>
      <c r="C38" s="51" t="s">
        <v>111</v>
      </c>
    </row>
    <row r="39" spans="1:3" s="14" customFormat="1" x14ac:dyDescent="0.35">
      <c r="A39" s="63" t="s">
        <v>112</v>
      </c>
      <c r="B39" s="65">
        <v>0.313</v>
      </c>
      <c r="C39" s="51"/>
    </row>
    <row r="40" spans="1:3" s="14" customFormat="1" ht="15" thickBot="1" x14ac:dyDescent="0.4">
      <c r="A40" s="62" t="s">
        <v>183</v>
      </c>
      <c r="B40" s="123">
        <f>B39*B38</f>
        <v>0</v>
      </c>
      <c r="C40" s="54" t="s">
        <v>111</v>
      </c>
    </row>
    <row r="41" spans="1:3" s="14" customFormat="1" ht="15" thickBot="1" x14ac:dyDescent="0.4"/>
    <row r="42" spans="1:3" x14ac:dyDescent="0.35">
      <c r="A42" s="46" t="s">
        <v>175</v>
      </c>
      <c r="B42" s="47"/>
      <c r="C42" s="48"/>
    </row>
    <row r="43" spans="1:3" x14ac:dyDescent="0.35">
      <c r="A43" s="130" t="s">
        <v>209</v>
      </c>
      <c r="B43" s="50"/>
      <c r="C43" s="51"/>
    </row>
    <row r="44" spans="1:3" x14ac:dyDescent="0.35">
      <c r="A44" s="63" t="s">
        <v>194</v>
      </c>
      <c r="B44" s="119">
        <v>0</v>
      </c>
      <c r="C44" s="51" t="s">
        <v>113</v>
      </c>
    </row>
    <row r="45" spans="1:3" ht="15" thickBot="1" x14ac:dyDescent="0.4">
      <c r="A45" s="62" t="s">
        <v>184</v>
      </c>
      <c r="B45" s="123">
        <f>B44*'Projected Transportation'!B6</f>
        <v>0</v>
      </c>
      <c r="C45" s="54" t="s">
        <v>111</v>
      </c>
    </row>
    <row r="46" spans="1:3" x14ac:dyDescent="0.35">
      <c r="B46" s="6"/>
    </row>
    <row r="47" spans="1:3" s="14" customFormat="1" x14ac:dyDescent="0.35">
      <c r="A47" s="89" t="s">
        <v>139</v>
      </c>
      <c r="B47" s="66">
        <f>B12+B19+B24</f>
        <v>0</v>
      </c>
      <c r="C47" s="14" t="s">
        <v>111</v>
      </c>
    </row>
    <row r="48" spans="1:3" s="14" customFormat="1" x14ac:dyDescent="0.35">
      <c r="A48" s="50" t="s">
        <v>140</v>
      </c>
      <c r="B48" s="66">
        <f>B26+B33</f>
        <v>0</v>
      </c>
      <c r="C48" s="14" t="s">
        <v>111</v>
      </c>
    </row>
    <row r="49" spans="1:3" s="14" customFormat="1" x14ac:dyDescent="0.35">
      <c r="A49" s="89" t="s">
        <v>142</v>
      </c>
      <c r="B49" s="66">
        <f>B45</f>
        <v>0</v>
      </c>
      <c r="C49" s="14" t="s">
        <v>111</v>
      </c>
    </row>
    <row r="50" spans="1:3" s="14" customFormat="1" x14ac:dyDescent="0.35">
      <c r="A50" s="89" t="s">
        <v>141</v>
      </c>
      <c r="B50" s="66">
        <f>B40</f>
        <v>0</v>
      </c>
      <c r="C50" s="14" t="s">
        <v>111</v>
      </c>
    </row>
    <row r="51" spans="1:3" s="14" customFormat="1" x14ac:dyDescent="0.35">
      <c r="A51" s="89" t="s">
        <v>143</v>
      </c>
      <c r="B51" s="66">
        <f>SUM(B47:B50)</f>
        <v>0</v>
      </c>
      <c r="C51" s="14" t="s">
        <v>111</v>
      </c>
    </row>
  </sheetData>
  <sheetProtection algorithmName="SHA-512" hashValue="sV8z82pZ5MB5w5myCr+XHNMkDdmFwgKdSnx/7Kj3HT/l65z0lWrkeeUHqtXzTqeFICNnOboN13fqPowYzUsCsA==" saltValue="PY3XqxOlP9Wb5eqewsJhaA==" spinCount="100000" sheet="1" objects="1" scenarios="1"/>
  <mergeCells count="1">
    <mergeCell ref="A3:C3"/>
  </mergeCells>
  <dataValidations xWindow="450" yWindow="500" count="5">
    <dataValidation allowBlank="1" showInputMessage="1" showErrorMessage="1" promptTitle="Renewable Energy System" prompt="If electricity use is expected to increase from the renewable energy system, enter the increase as a negative value. For example, if installation of a renewable system will increase electricity consumption by 1,000 kwh, enter &quot;-1000&quot;_x000a_" sqref="B23" xr:uid="{EF42C52B-DD01-44AE-A76D-386BA0CF4393}"/>
    <dataValidation allowBlank="1" showInputMessage="1" showErrorMessage="1" promptTitle="Onsite Renewable Electricity" prompt="Enter in the projected renewable electricity generated, based on the submitted PV Watts calculator results (pvwatts.nrel.gov) or vendor documentation." sqref="B10" xr:uid="{0C77CB01-1008-4876-BD03-000098A09B4B}"/>
    <dataValidation allowBlank="1" showInputMessage="1" showErrorMessage="1" promptTitle="EV Above Code Parking" prompt="Enter in the number of parkings spaces with installed EV charging systems (above minimum required by code - see Zoning Ordinance Article 8). " sqref="B44" xr:uid="{DB2FB308-60EF-49AE-9F5A-3B248C03A1FF}"/>
    <dataValidation allowBlank="1" showInputMessage="1" showErrorMessage="1" promptTitle="Offsite Renewable Electricity" prompt="Enter in the projected renewable electricity generated, based on the submitted vendor documentation." sqref="B17" xr:uid="{711364FF-61EF-4B1E-A7B5-8FF617F2B767}"/>
    <dataValidation allowBlank="1" showInputMessage="1" showErrorMessage="1" promptTitle="Renewable Energy Systems " prompt="Enter in the proposed natural gas use reduction from the Renewable Energy System." sqref="B25" xr:uid="{6F629CCF-49AA-451A-B8CE-30300310CEBE}"/>
  </dataValidations>
  <pageMargins left="0.7" right="0.7" top="0.75" bottom="0.75" header="0.3" footer="0.3"/>
  <extLst>
    <ext xmlns:x14="http://schemas.microsoft.com/office/spreadsheetml/2009/9/main" uri="{CCE6A557-97BC-4b89-ADB6-D9C93CAAB3DF}">
      <x14:dataValidations xmlns:xm="http://schemas.microsoft.com/office/excel/2006/main" xWindow="450" yWindow="500" count="2">
        <x14:dataValidation type="list" allowBlank="1" showInputMessage="1" showErrorMessage="1" promptTitle="Recycling / Composting" prompt="Will the project have a 2-year minimum contractor for recycling AND compost pickup services?" xr:uid="{6DB80C34-B1BF-45CA-B398-63F6E6CEC434}">
          <x14:formula1>
            <xm:f>'Standard Values'!$A$30:$A$31</xm:f>
          </x14:formula1>
          <xm:sqref>B37</xm:sqref>
        </x14:dataValidation>
        <x14:dataValidation type="list" allowBlank="1" showInputMessage="1" showErrorMessage="1" promptTitle="Building Electrification" prompt="Does the project use electricity only for space conditioning, water heating, and appliances, with no natural gas service provided to the site?" xr:uid="{E83BB9BB-61C2-4718-8A98-2B35A7325F7F}">
          <x14:formula1>
            <xm:f>'Standard Values'!$A$30:$A$31</xm:f>
          </x14:formula1>
          <xm:sqref>B31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7"/>
  <sheetViews>
    <sheetView topLeftCell="A17" workbookViewId="0">
      <selection activeCell="B23" sqref="B23 B34"/>
    </sheetView>
  </sheetViews>
  <sheetFormatPr defaultColWidth="9.1796875" defaultRowHeight="14.5" x14ac:dyDescent="0.35"/>
  <cols>
    <col min="1" max="1" width="63.81640625" style="1" customWidth="1"/>
    <col min="2" max="2" width="30.81640625" style="1" customWidth="1"/>
    <col min="3" max="3" width="21.81640625" style="1" customWidth="1"/>
    <col min="4" max="5" width="14" style="1" customWidth="1"/>
    <col min="6" max="8" width="21.81640625" style="1" customWidth="1"/>
    <col min="9" max="9" width="161.26953125" style="1" bestFit="1" customWidth="1"/>
    <col min="10" max="16384" width="9.1796875" style="1"/>
  </cols>
  <sheetData>
    <row r="1" spans="1:5" x14ac:dyDescent="0.35">
      <c r="A1" s="94" t="s">
        <v>185</v>
      </c>
    </row>
    <row r="2" spans="1:5" x14ac:dyDescent="0.35">
      <c r="A2" s="113" t="s">
        <v>169</v>
      </c>
    </row>
    <row r="3" spans="1:5" x14ac:dyDescent="0.35">
      <c r="A3" s="67"/>
    </row>
    <row r="5" spans="1:5" s="67" customFormat="1" x14ac:dyDescent="0.35">
      <c r="A5" s="95" t="s">
        <v>50</v>
      </c>
      <c r="B5" s="67" t="str">
        <f>'Applicant Input &amp; Summary'!B6</f>
        <v>Lakewood Project 1234</v>
      </c>
    </row>
    <row r="6" spans="1:5" s="67" customFormat="1" x14ac:dyDescent="0.35">
      <c r="A6" s="95" t="s">
        <v>90</v>
      </c>
      <c r="B6" s="67" t="str">
        <f>'Applicant Input &amp; Summary'!B7</f>
        <v>470 S Allison Parkway, Lakewood CO 80226</v>
      </c>
    </row>
    <row r="7" spans="1:5" s="67" customFormat="1" ht="33" customHeight="1" x14ac:dyDescent="0.35">
      <c r="A7" s="95" t="s">
        <v>91</v>
      </c>
      <c r="B7" s="96" t="str">
        <f>'Applicant Input &amp; Summary'!B8</f>
        <v xml:space="preserve">Food service </v>
      </c>
    </row>
    <row r="8" spans="1:5" s="67" customFormat="1" x14ac:dyDescent="0.35">
      <c r="A8" s="95" t="s">
        <v>92</v>
      </c>
      <c r="B8" s="97">
        <f>'Applicant Input &amp; Summary'!B9</f>
        <v>3867</v>
      </c>
      <c r="C8" s="67" t="s">
        <v>0</v>
      </c>
    </row>
    <row r="10" spans="1:5" x14ac:dyDescent="0.35">
      <c r="A10" s="8" t="s">
        <v>99</v>
      </c>
      <c r="D10" s="8"/>
      <c r="E10" s="8"/>
    </row>
    <row r="11" spans="1:5" x14ac:dyDescent="0.35">
      <c r="D11" s="8"/>
      <c r="E11" s="8"/>
    </row>
    <row r="12" spans="1:5" x14ac:dyDescent="0.35">
      <c r="A12" s="23" t="s">
        <v>150</v>
      </c>
      <c r="B12" s="21">
        <f>B8*'Performance Std - Source Data'!B19</f>
        <v>13.131005629252344</v>
      </c>
      <c r="C12" s="1" t="s">
        <v>95</v>
      </c>
      <c r="D12" s="8"/>
      <c r="E12" s="8"/>
    </row>
    <row r="13" spans="1:5" x14ac:dyDescent="0.35">
      <c r="A13" s="23" t="s">
        <v>151</v>
      </c>
      <c r="B13" s="21">
        <f>B8*'Performance Std - Source Data'!C19</f>
        <v>4.7838724283720442</v>
      </c>
      <c r="C13" s="1" t="s">
        <v>95</v>
      </c>
      <c r="D13" s="8"/>
      <c r="E13" s="8"/>
    </row>
    <row r="14" spans="1:5" x14ac:dyDescent="0.35">
      <c r="A14" s="23" t="s">
        <v>96</v>
      </c>
      <c r="B14" s="21">
        <v>0</v>
      </c>
      <c r="C14" s="1" t="s">
        <v>95</v>
      </c>
      <c r="D14" s="8"/>
      <c r="E14" s="8"/>
    </row>
    <row r="15" spans="1:5" x14ac:dyDescent="0.35">
      <c r="A15" s="23" t="s">
        <v>97</v>
      </c>
      <c r="B15" s="21">
        <f>B8*'Performance Std - Source Data'!D19</f>
        <v>0.46039957181259278</v>
      </c>
      <c r="C15" s="1" t="s">
        <v>95</v>
      </c>
      <c r="D15" s="8"/>
      <c r="E15" s="8"/>
    </row>
    <row r="16" spans="1:5" x14ac:dyDescent="0.35">
      <c r="A16" s="23" t="s">
        <v>98</v>
      </c>
      <c r="B16" s="113">
        <f>SUM(B12:B15)</f>
        <v>18.375277629436983</v>
      </c>
      <c r="C16" s="10" t="s">
        <v>95</v>
      </c>
      <c r="D16" s="8"/>
      <c r="E16" s="8"/>
    </row>
    <row r="17" spans="1:5" x14ac:dyDescent="0.35">
      <c r="D17" s="8"/>
      <c r="E17" s="8"/>
    </row>
    <row r="18" spans="1:5" x14ac:dyDescent="0.35">
      <c r="A18" s="8" t="s">
        <v>137</v>
      </c>
    </row>
    <row r="19" spans="1:5" x14ac:dyDescent="0.35">
      <c r="A19" s="91" t="s">
        <v>100</v>
      </c>
    </row>
    <row r="20" spans="1:5" x14ac:dyDescent="0.35">
      <c r="A20" s="2" t="s">
        <v>1</v>
      </c>
      <c r="B20" s="98">
        <f>VLOOKUP(B7,'Projected Energy'!A2:C34,2,FALSE)*B8</f>
        <v>138438.59999999998</v>
      </c>
      <c r="C20" s="67" t="s">
        <v>4</v>
      </c>
    </row>
    <row r="21" spans="1:5" x14ac:dyDescent="0.35">
      <c r="A21" s="2" t="s">
        <v>2</v>
      </c>
      <c r="B21" s="98">
        <f>VLOOKUP(B7,'Projected Energy'!A2:C34,3,FALSE)*'Standard Values'!B6*B8</f>
        <v>6238.5950080000011</v>
      </c>
      <c r="C21" s="67" t="s">
        <v>3</v>
      </c>
    </row>
    <row r="22" spans="1:5" x14ac:dyDescent="0.35">
      <c r="A22" s="2"/>
      <c r="B22" s="99"/>
      <c r="C22" s="67"/>
    </row>
    <row r="23" spans="1:5" x14ac:dyDescent="0.35">
      <c r="A23" s="2" t="s">
        <v>27</v>
      </c>
      <c r="B23" s="100">
        <f>($B$20)*'Standard Values'!B8</f>
        <v>66.035212199999989</v>
      </c>
      <c r="C23" s="67" t="s">
        <v>25</v>
      </c>
    </row>
    <row r="24" spans="1:5" x14ac:dyDescent="0.35">
      <c r="A24" s="2" t="s">
        <v>24</v>
      </c>
      <c r="B24" s="100">
        <f>B21*'Standard Values'!B9</f>
        <v>33.064553542400006</v>
      </c>
      <c r="C24" s="67" t="s">
        <v>25</v>
      </c>
    </row>
    <row r="25" spans="1:5" x14ac:dyDescent="0.35">
      <c r="A25" s="2" t="s">
        <v>47</v>
      </c>
      <c r="B25" s="100">
        <f>B23+B24</f>
        <v>99.099765742399995</v>
      </c>
      <c r="C25" s="67" t="s">
        <v>25</v>
      </c>
    </row>
    <row r="26" spans="1:5" x14ac:dyDescent="0.35">
      <c r="A26" s="2"/>
      <c r="B26" s="67"/>
      <c r="C26" s="67"/>
    </row>
    <row r="27" spans="1:5" x14ac:dyDescent="0.35">
      <c r="A27" s="91" t="s">
        <v>101</v>
      </c>
      <c r="B27" s="67"/>
      <c r="C27" s="67"/>
    </row>
    <row r="28" spans="1:5" x14ac:dyDescent="0.35">
      <c r="A28" s="2" t="s">
        <v>125</v>
      </c>
      <c r="B28" s="99">
        <f>B8*'Projected Waste'!G4</f>
        <v>1.1715001827292437</v>
      </c>
      <c r="C28" s="94" t="s">
        <v>25</v>
      </c>
    </row>
    <row r="29" spans="1:5" x14ac:dyDescent="0.35">
      <c r="A29" s="2"/>
    </row>
    <row r="30" spans="1:5" x14ac:dyDescent="0.35">
      <c r="A30" s="2" t="s">
        <v>157</v>
      </c>
      <c r="B30" s="113">
        <f>SUM(B23:B24,B28)</f>
        <v>100.27126592512924</v>
      </c>
      <c r="C30" s="11" t="s">
        <v>25</v>
      </c>
    </row>
    <row r="31" spans="1:5" x14ac:dyDescent="0.35">
      <c r="A31" s="2"/>
    </row>
    <row r="32" spans="1:5" x14ac:dyDescent="0.35">
      <c r="A32" s="8" t="s">
        <v>102</v>
      </c>
    </row>
    <row r="34" spans="1:5" x14ac:dyDescent="0.35">
      <c r="A34" s="89" t="s">
        <v>139</v>
      </c>
      <c r="B34" s="21">
        <f>'Mitigated Emissions Input'!B47</f>
        <v>0</v>
      </c>
      <c r="C34" s="1" t="s">
        <v>25</v>
      </c>
    </row>
    <row r="35" spans="1:5" x14ac:dyDescent="0.35">
      <c r="A35" s="50" t="s">
        <v>140</v>
      </c>
      <c r="B35" s="21">
        <f>'Mitigated Emissions Input'!B48</f>
        <v>0</v>
      </c>
      <c r="C35" s="1" t="s">
        <v>25</v>
      </c>
    </row>
    <row r="36" spans="1:5" x14ac:dyDescent="0.35">
      <c r="A36" s="89" t="s">
        <v>142</v>
      </c>
      <c r="B36" s="21">
        <f>'Mitigated Emissions Input'!B49</f>
        <v>0</v>
      </c>
      <c r="C36" s="1" t="s">
        <v>25</v>
      </c>
    </row>
    <row r="37" spans="1:5" x14ac:dyDescent="0.35">
      <c r="A37" s="89" t="s">
        <v>141</v>
      </c>
      <c r="B37" s="21">
        <f>'Mitigated Emissions Input'!B50</f>
        <v>0</v>
      </c>
      <c r="C37" s="1" t="s">
        <v>25</v>
      </c>
    </row>
    <row r="38" spans="1:5" x14ac:dyDescent="0.35">
      <c r="A38" s="102" t="s">
        <v>160</v>
      </c>
      <c r="B38" s="113">
        <f>SUM(B34:B37)</f>
        <v>0</v>
      </c>
      <c r="C38" s="11" t="s">
        <v>25</v>
      </c>
    </row>
    <row r="39" spans="1:5" x14ac:dyDescent="0.35">
      <c r="A39" s="89"/>
      <c r="B39" s="21"/>
    </row>
    <row r="40" spans="1:5" x14ac:dyDescent="0.35">
      <c r="A40" s="8" t="s">
        <v>138</v>
      </c>
    </row>
    <row r="42" spans="1:5" x14ac:dyDescent="0.35">
      <c r="A42" s="1" t="s">
        <v>144</v>
      </c>
      <c r="B42" s="112">
        <f>B23-B34</f>
        <v>66.035212199999989</v>
      </c>
      <c r="C42" s="118" t="s">
        <v>25</v>
      </c>
      <c r="E42" s="92"/>
    </row>
    <row r="43" spans="1:5" x14ac:dyDescent="0.35">
      <c r="A43" s="1" t="s">
        <v>145</v>
      </c>
      <c r="B43" s="112">
        <f>B24-B35</f>
        <v>33.064553542400006</v>
      </c>
      <c r="C43" s="118" t="s">
        <v>25</v>
      </c>
    </row>
    <row r="44" spans="1:5" x14ac:dyDescent="0.35">
      <c r="A44" s="1" t="s">
        <v>146</v>
      </c>
      <c r="B44" s="68">
        <f>B28-B37</f>
        <v>1.1715001827292437</v>
      </c>
      <c r="C44" s="1" t="s">
        <v>25</v>
      </c>
    </row>
    <row r="45" spans="1:5" x14ac:dyDescent="0.35">
      <c r="A45" s="2" t="s">
        <v>161</v>
      </c>
      <c r="B45" s="113">
        <f>B30-B38</f>
        <v>100.27126592512924</v>
      </c>
      <c r="C45" s="11" t="s">
        <v>25</v>
      </c>
    </row>
    <row r="47" spans="1:5" x14ac:dyDescent="0.35">
      <c r="A47" s="8" t="s">
        <v>147</v>
      </c>
    </row>
    <row r="49" spans="1:8" x14ac:dyDescent="0.35">
      <c r="A49" s="2" t="s">
        <v>162</v>
      </c>
      <c r="B49" s="113">
        <f>IF(B45-B16&gt;0,B45-B16,0)</f>
        <v>81.895988295692263</v>
      </c>
      <c r="C49" s="11" t="s">
        <v>25</v>
      </c>
      <c r="D49" s="68"/>
      <c r="F49" s="68"/>
      <c r="H49" s="68"/>
    </row>
    <row r="51" spans="1:8" x14ac:dyDescent="0.35">
      <c r="A51" s="8" t="s">
        <v>152</v>
      </c>
      <c r="F51" s="68"/>
    </row>
    <row r="52" spans="1:8" x14ac:dyDescent="0.35">
      <c r="A52" s="2" t="s">
        <v>153</v>
      </c>
      <c r="B52" s="90">
        <f>'Standard Values'!B3</f>
        <v>76</v>
      </c>
      <c r="C52" s="1" t="s">
        <v>104</v>
      </c>
    </row>
    <row r="53" spans="1:8" x14ac:dyDescent="0.35">
      <c r="B53" s="90"/>
    </row>
    <row r="54" spans="1:8" x14ac:dyDescent="0.35">
      <c r="A54" s="2" t="s">
        <v>154</v>
      </c>
      <c r="B54" s="101">
        <f>IF(B49&gt;0,B49*B52*10,0)</f>
        <v>62240.951104726119</v>
      </c>
    </row>
    <row r="55" spans="1:8" x14ac:dyDescent="0.35">
      <c r="A55" s="2" t="s">
        <v>159</v>
      </c>
      <c r="B55" s="71">
        <f>IF(B42&lt;=0,0,B42/SUMIF(B42:B44,"&gt;0"))</f>
        <v>0.65856565777585074</v>
      </c>
    </row>
    <row r="56" spans="1:8" x14ac:dyDescent="0.35">
      <c r="A56" s="2" t="s">
        <v>156</v>
      </c>
      <c r="B56" s="101">
        <f>IF(B54&gt;0,-('Standard Values'!B25)*(B55*B49)*B52*10,0)</f>
        <v>-13293.747745996028</v>
      </c>
    </row>
    <row r="57" spans="1:8" x14ac:dyDescent="0.35">
      <c r="A57" s="2" t="s">
        <v>155</v>
      </c>
      <c r="B57" s="101">
        <f>B54+B56</f>
        <v>48947.20335873009</v>
      </c>
    </row>
  </sheetData>
  <sheetProtection algorithmName="SHA-512" hashValue="D3e8yeqwIZrZaQa6AO7Hy5r6sWI3PzjPLvrXu4RpUzoVT5wAdggr9wU6Wl9+ABryvBZIcBvQfE+2mAegfeHHkQ==" saltValue="IJI+fx4rAgF4bBqBhLTcOw==" spinCount="100000" sheet="1" objects="1" scenarios="1"/>
  <dataConsolidate/>
  <dataValidations count="2">
    <dataValidation allowBlank="1" showErrorMessage="1" prompt="If projected data is unavailable, leave the boxes blank. Energy Star estimates will be used instead." sqref="B20:B21" xr:uid="{00000000-0002-0000-0400-000000000000}"/>
    <dataValidation allowBlank="1" showInputMessage="1" showErrorMessage="1" promptTitle="Energy Model Input" prompt="If Energy Model is used to determine Final Projected Emissions for electricity and natural gas usage, staff will enter the values here. Applicant should use the electricity and natural gas conversion factors in the &quot;Standard Values&quot; tab." sqref="B42:B43" xr:uid="{EE39D50A-29D7-4E56-BA30-801CFE353DBD}"/>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'Projected Energy'!$A$4:$A$8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8"/>
  <sheetViews>
    <sheetView workbookViewId="0">
      <selection activeCell="D28" sqref="D28"/>
    </sheetView>
  </sheetViews>
  <sheetFormatPr defaultRowHeight="14.5" x14ac:dyDescent="0.35"/>
  <cols>
    <col min="1" max="1" width="39.81640625" customWidth="1"/>
    <col min="2" max="2" width="18.26953125" customWidth="1"/>
    <col min="3" max="3" width="19.7265625" customWidth="1"/>
    <col min="4" max="4" width="15.7265625" customWidth="1"/>
    <col min="5" max="5" width="14.1796875" customWidth="1"/>
    <col min="6" max="6" width="13" customWidth="1"/>
  </cols>
  <sheetData>
    <row r="1" spans="1:10" s="14" customFormat="1" x14ac:dyDescent="0.35">
      <c r="A1" s="14" t="s">
        <v>186</v>
      </c>
    </row>
    <row r="2" spans="1:10" s="14" customFormat="1" x14ac:dyDescent="0.35"/>
    <row r="3" spans="1:10" s="1" customFormat="1" x14ac:dyDescent="0.35">
      <c r="A3" s="8" t="s">
        <v>51</v>
      </c>
    </row>
    <row r="4" spans="1:10" s="1" customFormat="1" x14ac:dyDescent="0.35">
      <c r="A4" s="22"/>
      <c r="B4" s="22"/>
      <c r="C4" s="22"/>
      <c r="D4" s="22"/>
      <c r="E4" s="22"/>
    </row>
    <row r="5" spans="1:10" s="1" customFormat="1" x14ac:dyDescent="0.35">
      <c r="A5" s="25"/>
      <c r="B5" s="27" t="s">
        <v>148</v>
      </c>
      <c r="C5" s="42" t="s">
        <v>149</v>
      </c>
      <c r="D5" s="27" t="s">
        <v>48</v>
      </c>
      <c r="E5" s="27" t="s">
        <v>49</v>
      </c>
      <c r="F5" s="27" t="s">
        <v>39</v>
      </c>
      <c r="G5" s="24"/>
    </row>
    <row r="6" spans="1:10" s="1" customFormat="1" x14ac:dyDescent="0.35">
      <c r="A6" s="25" t="s">
        <v>53</v>
      </c>
      <c r="B6" s="28">
        <f>B29</f>
        <v>258712.25890707545</v>
      </c>
      <c r="C6" s="28">
        <f>B27+B28</f>
        <v>199750.90394119199</v>
      </c>
      <c r="D6" s="28">
        <f>SUM(B34:B37)</f>
        <v>479480.07580060384</v>
      </c>
      <c r="E6" s="28">
        <f>B38</f>
        <v>14639.331601395168</v>
      </c>
      <c r="F6" s="28">
        <f>SUM(B6:E6)</f>
        <v>952582.57025026646</v>
      </c>
      <c r="G6" s="24"/>
    </row>
    <row r="7" spans="1:10" s="1" customFormat="1" x14ac:dyDescent="0.35">
      <c r="A7" s="25" t="s">
        <v>30</v>
      </c>
      <c r="B7" s="133">
        <f>B22</f>
        <v>151411</v>
      </c>
      <c r="C7" s="134"/>
      <c r="D7" s="134"/>
      <c r="E7" s="135"/>
      <c r="F7" s="27"/>
      <c r="G7" s="24"/>
    </row>
    <row r="8" spans="1:10" s="1" customFormat="1" x14ac:dyDescent="0.35">
      <c r="A8" s="25" t="s">
        <v>52</v>
      </c>
      <c r="B8" s="29">
        <f>B6/$B$7</f>
        <v>1.708675452292604</v>
      </c>
      <c r="C8" s="29">
        <f>C6/$B$7</f>
        <v>1.319262827279339</v>
      </c>
      <c r="D8" s="29">
        <f>D6/$B$7</f>
        <v>3.166745321017653</v>
      </c>
      <c r="E8" s="30">
        <f>E6/$B$7</f>
        <v>9.6686050560363307E-2</v>
      </c>
      <c r="F8" s="31">
        <f>SUM(B8:E8)</f>
        <v>6.2913696511499593</v>
      </c>
      <c r="G8" s="24"/>
    </row>
    <row r="9" spans="1:10" s="1" customFormat="1" x14ac:dyDescent="0.35">
      <c r="A9" s="26" t="s">
        <v>54</v>
      </c>
      <c r="B9" s="136">
        <v>0.60699999999999998</v>
      </c>
      <c r="C9" s="137"/>
      <c r="D9" s="137"/>
      <c r="E9" s="138"/>
      <c r="F9" s="27"/>
      <c r="G9"/>
      <c r="H9"/>
      <c r="I9"/>
      <c r="J9"/>
    </row>
    <row r="10" spans="1:10" x14ac:dyDescent="0.35">
      <c r="A10" s="26" t="s">
        <v>55</v>
      </c>
      <c r="B10" s="29">
        <f>B8*(1-$B$9)</f>
        <v>0.67150945275099339</v>
      </c>
      <c r="C10" s="29">
        <f>C8*(1-$B$9)</f>
        <v>0.51847029112078025</v>
      </c>
      <c r="D10" s="29">
        <f>D8*(1-$B$9)</f>
        <v>1.2445309111599376</v>
      </c>
      <c r="E10" s="30">
        <f>E8*(1-$B$9)</f>
        <v>3.799761787022278E-2</v>
      </c>
      <c r="F10" s="31">
        <f>SUM(B10:E10)</f>
        <v>2.4725082729019339</v>
      </c>
    </row>
    <row r="12" spans="1:10" x14ac:dyDescent="0.35">
      <c r="A12" s="12" t="s">
        <v>120</v>
      </c>
    </row>
    <row r="14" spans="1:10" x14ac:dyDescent="0.35">
      <c r="A14" s="25"/>
      <c r="B14" s="42" t="s">
        <v>148</v>
      </c>
      <c r="C14" s="42" t="s">
        <v>149</v>
      </c>
      <c r="D14" s="27" t="s">
        <v>49</v>
      </c>
      <c r="E14" s="27" t="s">
        <v>39</v>
      </c>
    </row>
    <row r="15" spans="1:10" x14ac:dyDescent="0.35">
      <c r="A15" s="25" t="s">
        <v>53</v>
      </c>
      <c r="B15" s="28">
        <f>B33</f>
        <v>367006.70437178586</v>
      </c>
      <c r="C15" s="28">
        <f>SUM(B30:B32)</f>
        <v>133707.4481302955</v>
      </c>
      <c r="D15" s="28">
        <f>B39</f>
        <v>12867.996124280229</v>
      </c>
      <c r="E15" s="28">
        <f>SUM(B15:D15)</f>
        <v>513582.14862636157</v>
      </c>
    </row>
    <row r="16" spans="1:10" x14ac:dyDescent="0.35">
      <c r="A16" s="25" t="s">
        <v>121</v>
      </c>
      <c r="B16" s="133">
        <f>B23</f>
        <v>42475914</v>
      </c>
      <c r="C16" s="134"/>
      <c r="D16" s="135"/>
      <c r="E16" s="27"/>
    </row>
    <row r="17" spans="1:5" x14ac:dyDescent="0.35">
      <c r="A17" s="25" t="s">
        <v>56</v>
      </c>
      <c r="B17" s="32">
        <f>B15/$B$16</f>
        <v>8.640348607255063E-3</v>
      </c>
      <c r="C17" s="32">
        <f>C15/$B$16</f>
        <v>3.1478415774713053E-3</v>
      </c>
      <c r="D17" s="34">
        <f>D15/$B$16</f>
        <v>3.0294806897575478E-4</v>
      </c>
      <c r="E17" s="33">
        <f>SUM(B17:D17)</f>
        <v>1.2091138253702123E-2</v>
      </c>
    </row>
    <row r="18" spans="1:5" x14ac:dyDescent="0.35">
      <c r="A18" s="26" t="s">
        <v>54</v>
      </c>
      <c r="B18" s="139">
        <f>B9</f>
        <v>0.60699999999999998</v>
      </c>
      <c r="C18" s="140"/>
      <c r="D18" s="141"/>
      <c r="E18" s="27"/>
    </row>
    <row r="19" spans="1:5" x14ac:dyDescent="0.35">
      <c r="A19" s="26" t="s">
        <v>105</v>
      </c>
      <c r="B19" s="33">
        <f>B17*(1-$B$18)</f>
        <v>3.3956570026512397E-3</v>
      </c>
      <c r="C19" s="33">
        <f>C17*(1-$B$18)</f>
        <v>1.237101739946223E-3</v>
      </c>
      <c r="D19" s="34">
        <f>D17*(1-$B$18)</f>
        <v>1.1905859110747163E-4</v>
      </c>
      <c r="E19" s="33">
        <f>SUM(B19:D19)</f>
        <v>4.7518173337049345E-3</v>
      </c>
    </row>
    <row r="21" spans="1:5" x14ac:dyDescent="0.35">
      <c r="A21" s="12" t="s">
        <v>81</v>
      </c>
    </row>
    <row r="22" spans="1:5" x14ac:dyDescent="0.35">
      <c r="A22" s="25" t="s">
        <v>78</v>
      </c>
      <c r="B22" s="40">
        <v>151411</v>
      </c>
      <c r="C22" t="s">
        <v>79</v>
      </c>
    </row>
    <row r="23" spans="1:5" x14ac:dyDescent="0.35">
      <c r="A23" s="25" t="s">
        <v>80</v>
      </c>
      <c r="B23" s="41">
        <v>42475914</v>
      </c>
      <c r="C23" t="s">
        <v>77</v>
      </c>
    </row>
    <row r="25" spans="1:5" x14ac:dyDescent="0.35">
      <c r="A25" s="12" t="s">
        <v>82</v>
      </c>
    </row>
    <row r="26" spans="1:5" ht="29" x14ac:dyDescent="0.35">
      <c r="A26" s="25" t="s">
        <v>87</v>
      </c>
      <c r="B26" s="38" t="s">
        <v>70</v>
      </c>
    </row>
    <row r="27" spans="1:5" x14ac:dyDescent="0.35">
      <c r="A27" s="25" t="s">
        <v>63</v>
      </c>
      <c r="B27" s="39">
        <v>199727.15213355</v>
      </c>
    </row>
    <row r="28" spans="1:5" x14ac:dyDescent="0.35">
      <c r="A28" s="25" t="s">
        <v>64</v>
      </c>
      <c r="B28" s="39">
        <v>23.751807641999999</v>
      </c>
    </row>
    <row r="29" spans="1:5" x14ac:dyDescent="0.35">
      <c r="A29" s="25" t="s">
        <v>65</v>
      </c>
      <c r="B29" s="39">
        <v>258712.25890707545</v>
      </c>
    </row>
    <row r="30" spans="1:5" x14ac:dyDescent="0.35">
      <c r="A30" s="25" t="s">
        <v>66</v>
      </c>
      <c r="B30" s="39">
        <v>133161.94440810001</v>
      </c>
    </row>
    <row r="31" spans="1:5" x14ac:dyDescent="0.35">
      <c r="A31" s="25" t="s">
        <v>67</v>
      </c>
      <c r="B31" s="39">
        <v>327.94844168000009</v>
      </c>
    </row>
    <row r="32" spans="1:5" x14ac:dyDescent="0.35">
      <c r="A32" s="25" t="s">
        <v>68</v>
      </c>
      <c r="B32" s="39">
        <v>217.55528051549999</v>
      </c>
    </row>
    <row r="33" spans="1:6" x14ac:dyDescent="0.35">
      <c r="A33" s="25" t="s">
        <v>69</v>
      </c>
      <c r="B33" s="39">
        <v>367006.70437178586</v>
      </c>
    </row>
    <row r="34" spans="1:6" x14ac:dyDescent="0.35">
      <c r="A34" s="25" t="s">
        <v>71</v>
      </c>
      <c r="B34" s="39">
        <v>472885.30883618939</v>
      </c>
    </row>
    <row r="35" spans="1:6" x14ac:dyDescent="0.35">
      <c r="A35" s="25" t="s">
        <v>72</v>
      </c>
      <c r="B35" s="39">
        <v>557.07888222878591</v>
      </c>
    </row>
    <row r="36" spans="1:6" x14ac:dyDescent="0.35">
      <c r="A36" s="25" t="s">
        <v>73</v>
      </c>
      <c r="B36" s="39">
        <v>3787.1378855896778</v>
      </c>
    </row>
    <row r="37" spans="1:6" x14ac:dyDescent="0.35">
      <c r="A37" s="25" t="s">
        <v>74</v>
      </c>
      <c r="B37" s="39">
        <v>2250.5501965960188</v>
      </c>
    </row>
    <row r="38" spans="1:6" x14ac:dyDescent="0.35">
      <c r="A38" s="25" t="s">
        <v>75</v>
      </c>
      <c r="B38" s="39">
        <f>C38*'Standard Values'!B28</f>
        <v>14639.331601395168</v>
      </c>
      <c r="C38" s="15">
        <v>83144.349600000001</v>
      </c>
      <c r="D38" t="s">
        <v>58</v>
      </c>
    </row>
    <row r="39" spans="1:6" x14ac:dyDescent="0.35">
      <c r="A39" s="25" t="s">
        <v>76</v>
      </c>
      <c r="B39" s="39">
        <f>C39*'Standard Values'!B28</f>
        <v>12867.996124280229</v>
      </c>
      <c r="C39" s="15">
        <v>73084.017599999992</v>
      </c>
      <c r="D39" t="s">
        <v>58</v>
      </c>
    </row>
    <row r="41" spans="1:6" x14ac:dyDescent="0.35">
      <c r="A41" s="12" t="s">
        <v>130</v>
      </c>
      <c r="C41" t="s">
        <v>131</v>
      </c>
    </row>
    <row r="42" spans="1:6" ht="43.5" x14ac:dyDescent="0.35">
      <c r="A42" s="25" t="s">
        <v>83</v>
      </c>
      <c r="B42" s="35" t="s">
        <v>93</v>
      </c>
      <c r="C42" s="35" t="s">
        <v>94</v>
      </c>
      <c r="D42" s="35" t="s">
        <v>84</v>
      </c>
      <c r="E42" s="35" t="s">
        <v>85</v>
      </c>
      <c r="F42" s="35" t="s">
        <v>86</v>
      </c>
    </row>
    <row r="43" spans="1:6" x14ac:dyDescent="0.35">
      <c r="A43" s="25" t="s">
        <v>32</v>
      </c>
      <c r="B43" s="35">
        <v>0</v>
      </c>
      <c r="C43" s="35">
        <v>1</v>
      </c>
      <c r="D43" s="36">
        <v>40195</v>
      </c>
      <c r="E43" s="37">
        <v>108887.32745713595</v>
      </c>
      <c r="F43" s="45">
        <v>2.708976923924268</v>
      </c>
    </row>
    <row r="44" spans="1:6" x14ac:dyDescent="0.35">
      <c r="A44" s="25" t="s">
        <v>33</v>
      </c>
      <c r="B44" s="35">
        <v>2</v>
      </c>
      <c r="C44" s="35">
        <v>4</v>
      </c>
      <c r="D44" s="36">
        <v>3790</v>
      </c>
      <c r="E44" s="37">
        <v>7442.2504226032361</v>
      </c>
      <c r="F44" s="45">
        <v>1.9636544650668168</v>
      </c>
    </row>
    <row r="45" spans="1:6" x14ac:dyDescent="0.35">
      <c r="A45" s="25" t="s">
        <v>34</v>
      </c>
      <c r="B45" s="35">
        <v>5</v>
      </c>
      <c r="C45" s="35">
        <v>19</v>
      </c>
      <c r="D45" s="36">
        <v>11114</v>
      </c>
      <c r="E45" s="37">
        <v>22763.321902921998</v>
      </c>
      <c r="F45" s="45">
        <v>2.0481664479865032</v>
      </c>
    </row>
    <row r="46" spans="1:6" x14ac:dyDescent="0.35">
      <c r="A46" s="25" t="s">
        <v>35</v>
      </c>
      <c r="B46" s="35">
        <v>20</v>
      </c>
      <c r="C46" s="35">
        <v>49</v>
      </c>
      <c r="D46" s="36">
        <v>4884</v>
      </c>
      <c r="E46" s="37">
        <v>9601.362714320212</v>
      </c>
      <c r="F46" s="45">
        <v>1.9658809816380451</v>
      </c>
    </row>
    <row r="47" spans="1:6" x14ac:dyDescent="0.35">
      <c r="A47" s="25" t="s">
        <v>36</v>
      </c>
      <c r="B47" s="35">
        <v>50</v>
      </c>
      <c r="C47" s="35">
        <v>5000</v>
      </c>
      <c r="D47" s="36">
        <v>4343</v>
      </c>
      <c r="E47" s="37">
        <v>6256.4810432262739</v>
      </c>
      <c r="F47" s="45">
        <v>1.4405896945029413</v>
      </c>
    </row>
    <row r="48" spans="1:6" x14ac:dyDescent="0.35">
      <c r="A48" s="25" t="s">
        <v>37</v>
      </c>
      <c r="B48" s="25"/>
      <c r="C48" s="25"/>
      <c r="D48" s="36">
        <v>518</v>
      </c>
      <c r="E48" s="37">
        <v>1033.2564597923206</v>
      </c>
      <c r="F48" s="45">
        <v>1.9947035903326653</v>
      </c>
    </row>
  </sheetData>
  <sheetProtection algorithmName="SHA-512" hashValue="jV2wLuPd05CZ2ZDXAKdLYhZrWVps9wLCIgmOAM8tXbLGtCfOlcDKHDwMfynFgxcSIRaF32OGCSJXfl71xsp9Cg==" saltValue="PFyGf85GBp//5AkO7gYM4Q==" spinCount="100000" sheet="1" objects="1" scenarios="1"/>
  <mergeCells count="4">
    <mergeCell ref="B7:E7"/>
    <mergeCell ref="B9:E9"/>
    <mergeCell ref="B16:D16"/>
    <mergeCell ref="B18:D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4"/>
  <sheetViews>
    <sheetView showGridLines="0" zoomScaleNormal="100" workbookViewId="0">
      <pane ySplit="2" topLeftCell="A3" activePane="bottomLeft" state="frozen"/>
      <selection activeCell="D28" sqref="D28"/>
      <selection pane="bottomLeft" activeCell="D28" sqref="D28"/>
    </sheetView>
  </sheetViews>
  <sheetFormatPr defaultRowHeight="14.5" x14ac:dyDescent="0.35"/>
  <cols>
    <col min="1" max="1" width="56.7265625" customWidth="1"/>
    <col min="2" max="2" width="17" customWidth="1"/>
    <col min="3" max="3" width="20.26953125" customWidth="1"/>
  </cols>
  <sheetData>
    <row r="1" spans="1:7" s="14" customFormat="1" x14ac:dyDescent="0.35">
      <c r="A1" s="14" t="s">
        <v>188</v>
      </c>
    </row>
    <row r="2" spans="1:7" ht="48" customHeight="1" x14ac:dyDescent="0.35">
      <c r="A2" s="3"/>
      <c r="B2" s="56" t="s">
        <v>14</v>
      </c>
      <c r="C2" s="56" t="s">
        <v>15</v>
      </c>
      <c r="D2" s="55"/>
      <c r="E2" s="55"/>
      <c r="F2" s="55"/>
      <c r="G2" s="55"/>
    </row>
    <row r="3" spans="1:7" ht="24" customHeight="1" x14ac:dyDescent="0.35">
      <c r="A3" s="4" t="s">
        <v>13</v>
      </c>
      <c r="B3" s="57" t="s">
        <v>5</v>
      </c>
      <c r="C3" s="58" t="s">
        <v>5</v>
      </c>
    </row>
    <row r="4" spans="1:7" ht="15" customHeight="1" x14ac:dyDescent="0.35">
      <c r="A4" s="127" t="s">
        <v>12</v>
      </c>
      <c r="B4" s="59">
        <v>9.1</v>
      </c>
      <c r="C4" s="60">
        <v>40.9</v>
      </c>
    </row>
    <row r="5" spans="1:7" ht="15" customHeight="1" x14ac:dyDescent="0.35">
      <c r="A5" s="127" t="s">
        <v>195</v>
      </c>
      <c r="B5" s="59">
        <v>45.8</v>
      </c>
      <c r="C5" s="60">
        <v>70.400000000000006</v>
      </c>
    </row>
    <row r="6" spans="1:7" ht="15" customHeight="1" x14ac:dyDescent="0.35">
      <c r="A6" s="127" t="s">
        <v>196</v>
      </c>
      <c r="B6" s="59">
        <v>35.799999999999997</v>
      </c>
      <c r="C6" s="60">
        <v>150.4</v>
      </c>
    </row>
    <row r="7" spans="1:7" ht="15" customHeight="1" x14ac:dyDescent="0.35">
      <c r="A7" s="127" t="s">
        <v>197</v>
      </c>
      <c r="B7" s="59">
        <v>22.3</v>
      </c>
      <c r="C7" s="60">
        <v>77.3</v>
      </c>
    </row>
    <row r="8" spans="1:7" ht="15" customHeight="1" x14ac:dyDescent="0.35">
      <c r="A8" s="128" t="s">
        <v>198</v>
      </c>
      <c r="B8" s="59">
        <v>26.7</v>
      </c>
      <c r="C8" s="60">
        <v>108.7</v>
      </c>
    </row>
    <row r="9" spans="1:7" x14ac:dyDescent="0.35">
      <c r="A9" s="128" t="s">
        <v>199</v>
      </c>
      <c r="B9" s="59">
        <v>18</v>
      </c>
      <c r="C9" s="60">
        <v>45.7</v>
      </c>
    </row>
    <row r="10" spans="1:7" x14ac:dyDescent="0.35">
      <c r="A10" s="127" t="s">
        <v>200</v>
      </c>
      <c r="B10" s="59">
        <v>15.4</v>
      </c>
      <c r="C10" s="60">
        <v>58.6</v>
      </c>
    </row>
    <row r="11" spans="1:7" x14ac:dyDescent="0.35">
      <c r="A11" s="127" t="s">
        <v>201</v>
      </c>
      <c r="B11" s="59">
        <v>17.100000000000001</v>
      </c>
      <c r="C11" s="60">
        <v>39.9</v>
      </c>
    </row>
    <row r="12" spans="1:7" x14ac:dyDescent="0.35">
      <c r="A12" s="128" t="s">
        <v>202</v>
      </c>
      <c r="B12" s="59">
        <v>13.5</v>
      </c>
      <c r="C12" s="60">
        <v>31.6</v>
      </c>
    </row>
    <row r="13" spans="1:7" x14ac:dyDescent="0.35">
      <c r="A13" s="128" t="s">
        <v>203</v>
      </c>
      <c r="B13" s="59">
        <v>20.7</v>
      </c>
      <c r="C13" s="60">
        <v>46.6</v>
      </c>
    </row>
    <row r="14" spans="1:7" x14ac:dyDescent="0.35">
      <c r="A14" s="127" t="s">
        <v>204</v>
      </c>
      <c r="B14" s="59">
        <v>15.4</v>
      </c>
      <c r="C14" s="60">
        <v>33.799999999999997</v>
      </c>
    </row>
    <row r="15" spans="1:7" x14ac:dyDescent="0.35">
      <c r="A15" s="127" t="s">
        <v>205</v>
      </c>
      <c r="B15" s="59">
        <v>2.6295999999999999</v>
      </c>
      <c r="C15" s="60">
        <v>0</v>
      </c>
    </row>
    <row r="16" spans="1:7" x14ac:dyDescent="0.35">
      <c r="A16" s="127" t="s">
        <v>6</v>
      </c>
      <c r="B16" s="59">
        <v>12.4</v>
      </c>
      <c r="C16" s="60">
        <v>39.9</v>
      </c>
    </row>
    <row r="17" spans="1:3" x14ac:dyDescent="0.35">
      <c r="A17" s="127" t="s">
        <v>7</v>
      </c>
      <c r="B17" s="59">
        <v>9.6999999999999993</v>
      </c>
      <c r="C17" s="60">
        <v>45.6</v>
      </c>
    </row>
    <row r="18" spans="1:3" x14ac:dyDescent="0.35">
      <c r="A18" s="127" t="s">
        <v>8</v>
      </c>
      <c r="B18" s="59">
        <v>4.5999999999999996</v>
      </c>
      <c r="C18" s="60">
        <v>33.6</v>
      </c>
    </row>
    <row r="19" spans="1:3" x14ac:dyDescent="0.35">
      <c r="A19" s="127" t="s">
        <v>9</v>
      </c>
      <c r="B19" s="59">
        <v>7.1</v>
      </c>
      <c r="C19" s="60">
        <v>41.7</v>
      </c>
    </row>
    <row r="20" spans="1:3" x14ac:dyDescent="0.35">
      <c r="A20" s="127" t="s">
        <v>10</v>
      </c>
      <c r="B20" s="59">
        <v>5.7</v>
      </c>
      <c r="C20" s="60">
        <v>27.1</v>
      </c>
    </row>
    <row r="21" spans="1:3" x14ac:dyDescent="0.35">
      <c r="A21" s="127" t="s">
        <v>11</v>
      </c>
      <c r="B21" s="59">
        <v>24.9</v>
      </c>
      <c r="C21" s="60">
        <v>63.5</v>
      </c>
    </row>
    <row r="22" spans="1:3" x14ac:dyDescent="0.35">
      <c r="A22" s="129"/>
      <c r="B22" s="14"/>
      <c r="C22" s="14"/>
    </row>
    <row r="23" spans="1:3" x14ac:dyDescent="0.35">
      <c r="A23" s="5" t="s">
        <v>206</v>
      </c>
      <c r="B23" s="14"/>
      <c r="C23" s="14"/>
    </row>
    <row r="24" spans="1:3" x14ac:dyDescent="0.35">
      <c r="A24" s="5" t="s">
        <v>211</v>
      </c>
    </row>
  </sheetData>
  <sheetProtection algorithmName="SHA-512" hashValue="ffGaNsIwuszRgc5PUJq2aPXPwahC5P5chDPTzDSHpJHsWH/fMsFfix4MCt8mzrmDOg362rXGXbiPQOWkOAIwqQ==" saltValue="0BQIQl3P8wyRoEg8X3/YHg==" spinCount="100000" sheet="1" objects="1" scenarios="1"/>
  <hyperlinks>
    <hyperlink ref="A23" r:id="rId1" xr:uid="{DE8377C9-C7C7-49EA-836F-C777FFFD41B6}"/>
    <hyperlink ref="A24" r:id="rId2" xr:uid="{87BFBC8F-0AFC-45C3-A9C0-FCCDFBB17653}"/>
  </hyperlinks>
  <pageMargins left="0.7" right="0.7" top="0.6" bottom="0.6" header="0.3" footer="0.3"/>
  <pageSetup scale="70"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9"/>
  <sheetViews>
    <sheetView workbookViewId="0">
      <selection activeCell="D28" sqref="D28"/>
    </sheetView>
  </sheetViews>
  <sheetFormatPr defaultRowHeight="14.5" x14ac:dyDescent="0.35"/>
  <cols>
    <col min="1" max="1" width="16.1796875" customWidth="1"/>
    <col min="2" max="3" width="13.453125" style="13" customWidth="1"/>
    <col min="4" max="4" width="11.1796875" customWidth="1"/>
    <col min="5" max="5" width="17.81640625" style="13" customWidth="1"/>
    <col min="6" max="6" width="14.54296875" style="15" bestFit="1" customWidth="1"/>
    <col min="7" max="7" width="13.81640625" style="13" customWidth="1"/>
  </cols>
  <sheetData>
    <row r="1" spans="1:9" s="14" customFormat="1" x14ac:dyDescent="0.35">
      <c r="A1" s="14" t="s">
        <v>189</v>
      </c>
      <c r="B1" s="13"/>
      <c r="C1" s="13"/>
      <c r="E1" s="13"/>
      <c r="F1" s="15"/>
      <c r="G1" s="13"/>
    </row>
    <row r="2" spans="1:9" s="19" customFormat="1" ht="43.5" x14ac:dyDescent="0.35">
      <c r="A2" s="74"/>
      <c r="B2" s="75" t="s">
        <v>41</v>
      </c>
      <c r="C2" s="74" t="s">
        <v>42</v>
      </c>
      <c r="D2" s="74" t="s">
        <v>30</v>
      </c>
      <c r="E2" s="74" t="s">
        <v>43</v>
      </c>
      <c r="F2" s="76" t="s">
        <v>44</v>
      </c>
      <c r="G2" s="74" t="s">
        <v>45</v>
      </c>
      <c r="H2" s="18"/>
      <c r="I2" s="18"/>
    </row>
    <row r="3" spans="1:9" x14ac:dyDescent="0.35">
      <c r="A3" s="77" t="s">
        <v>46</v>
      </c>
      <c r="B3" s="78">
        <f>'Performance Std - Source Data'!C38</f>
        <v>83144.349600000001</v>
      </c>
      <c r="C3" s="79">
        <f>'Performance Std - Source Data'!B38</f>
        <v>14639.331601395168</v>
      </c>
      <c r="D3" s="80">
        <f>'Performance Std - Source Data'!B22</f>
        <v>151411</v>
      </c>
      <c r="E3" s="81">
        <f>C3/D3</f>
        <v>9.6686050560363307E-2</v>
      </c>
      <c r="F3" s="78" t="s">
        <v>40</v>
      </c>
      <c r="G3" s="82" t="s">
        <v>40</v>
      </c>
      <c r="H3" s="6"/>
      <c r="I3" s="6"/>
    </row>
    <row r="4" spans="1:9" x14ac:dyDescent="0.35">
      <c r="A4" s="77" t="s">
        <v>119</v>
      </c>
      <c r="B4" s="78">
        <f>'Performance Std - Source Data'!C39</f>
        <v>73084.017599999992</v>
      </c>
      <c r="C4" s="79">
        <f>'Performance Std - Source Data'!B39</f>
        <v>12867.996124280229</v>
      </c>
      <c r="D4" s="82" t="s">
        <v>40</v>
      </c>
      <c r="E4" s="82" t="s">
        <v>40</v>
      </c>
      <c r="F4" s="78">
        <f>'Performance Std - Source Data'!B23</f>
        <v>42475914</v>
      </c>
      <c r="G4" s="83">
        <f>C4/F4</f>
        <v>3.0294806897575478E-4</v>
      </c>
      <c r="H4" s="6"/>
      <c r="I4" s="6"/>
    </row>
    <row r="5" spans="1:9" x14ac:dyDescent="0.35">
      <c r="A5" s="6"/>
      <c r="B5" s="20"/>
      <c r="C5" s="20"/>
      <c r="D5" s="6"/>
      <c r="E5" s="20"/>
      <c r="F5" s="17"/>
      <c r="G5" s="20"/>
      <c r="H5" s="6"/>
      <c r="I5" s="6"/>
    </row>
    <row r="6" spans="1:9" x14ac:dyDescent="0.35">
      <c r="A6" s="125" t="s">
        <v>88</v>
      </c>
      <c r="B6" s="20"/>
      <c r="C6" s="20"/>
      <c r="D6" s="6"/>
      <c r="E6" s="20"/>
      <c r="F6" s="17"/>
      <c r="G6" s="20"/>
      <c r="H6" s="6"/>
      <c r="I6" s="6"/>
    </row>
    <row r="7" spans="1:9" x14ac:dyDescent="0.35">
      <c r="A7" s="16"/>
      <c r="B7" s="20"/>
      <c r="C7" s="20"/>
      <c r="D7" s="6"/>
      <c r="E7" s="20"/>
      <c r="F7" s="17"/>
      <c r="G7" s="20"/>
      <c r="H7" s="6"/>
      <c r="I7" s="6"/>
    </row>
    <row r="8" spans="1:9" x14ac:dyDescent="0.35">
      <c r="A8" s="6"/>
      <c r="B8" s="20"/>
      <c r="C8" s="20"/>
      <c r="D8" s="6"/>
      <c r="E8" s="20"/>
      <c r="F8" s="17"/>
      <c r="G8" s="20"/>
      <c r="H8" s="6"/>
      <c r="I8" s="6"/>
    </row>
    <row r="9" spans="1:9" x14ac:dyDescent="0.35">
      <c r="A9" s="6"/>
      <c r="B9" s="20"/>
      <c r="C9" s="20"/>
      <c r="D9" s="6"/>
      <c r="E9" s="20"/>
      <c r="F9" s="17"/>
      <c r="G9" s="20"/>
      <c r="H9" s="6"/>
      <c r="I9" s="6"/>
    </row>
  </sheetData>
  <sheetProtection algorithmName="SHA-512" hashValue="JGTmVmnNnq89VLlO2WqR+bpVGre8pAza7z8rZwfAGCv+FxhnRMFxzM0m1Hd4DUZAUmQqDHk0cCTOZJRbvnCGfA==" saltValue="0fSLKRA5/QWIlE4lYIps+Q==" spinCount="100000" sheet="1" objects="1" scenarios="1"/>
  <hyperlinks>
    <hyperlink ref="A6" r:id="rId1" xr:uid="{EC6FD3B2-53A5-475C-8CD3-776CC9CDADD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0"/>
  <sheetViews>
    <sheetView zoomScale="110" zoomScaleNormal="110" workbookViewId="0">
      <selection activeCell="D28" sqref="D28"/>
    </sheetView>
  </sheetViews>
  <sheetFormatPr defaultRowHeight="14.5" x14ac:dyDescent="0.35"/>
  <cols>
    <col min="1" max="1" width="43.26953125" bestFit="1" customWidth="1"/>
    <col min="2" max="4" width="18.453125" customWidth="1"/>
    <col min="5" max="5" width="18.453125" style="14" customWidth="1"/>
    <col min="6" max="7" width="18.453125" customWidth="1"/>
  </cols>
  <sheetData>
    <row r="1" spans="1:7" s="14" customFormat="1" x14ac:dyDescent="0.35">
      <c r="A1" t="s">
        <v>190</v>
      </c>
    </row>
    <row r="2" spans="1:7" s="14" customFormat="1" x14ac:dyDescent="0.35"/>
    <row r="3" spans="1:7" x14ac:dyDescent="0.35">
      <c r="A3" s="25"/>
      <c r="B3" s="42">
        <v>2018</v>
      </c>
      <c r="C3" s="42">
        <v>2019</v>
      </c>
      <c r="D3" s="42">
        <v>2020</v>
      </c>
      <c r="E3" s="42">
        <v>2021</v>
      </c>
      <c r="F3" s="42" t="s">
        <v>89</v>
      </c>
      <c r="G3" t="s">
        <v>127</v>
      </c>
    </row>
    <row r="4" spans="1:7" x14ac:dyDescent="0.35">
      <c r="A4" s="25" t="s">
        <v>126</v>
      </c>
      <c r="B4" s="72">
        <v>404414.51310000004</v>
      </c>
      <c r="C4" s="72">
        <v>391107.60159999999</v>
      </c>
      <c r="D4" s="72">
        <v>277692.58919999999</v>
      </c>
      <c r="E4" s="72">
        <f>329489+2261</f>
        <v>331750</v>
      </c>
      <c r="F4" s="73">
        <f>AVERAGE(B4:D4)</f>
        <v>357738.23463333334</v>
      </c>
      <c r="G4" t="s">
        <v>132</v>
      </c>
    </row>
    <row r="5" spans="1:7" x14ac:dyDescent="0.35">
      <c r="A5" s="25" t="s">
        <v>30</v>
      </c>
      <c r="B5" s="41">
        <v>153522</v>
      </c>
      <c r="C5" s="41">
        <v>155146</v>
      </c>
      <c r="D5" s="41">
        <v>155984</v>
      </c>
      <c r="E5" s="41"/>
      <c r="F5" s="73">
        <f>AVERAGE(B5:D5)</f>
        <v>154884</v>
      </c>
      <c r="G5" t="s">
        <v>128</v>
      </c>
    </row>
    <row r="6" spans="1:7" ht="29" x14ac:dyDescent="0.35">
      <c r="A6" s="9" t="s">
        <v>38</v>
      </c>
      <c r="B6" s="43">
        <f>F4/F5</f>
        <v>2.3097171730671557</v>
      </c>
      <c r="C6" s="44" t="s">
        <v>31</v>
      </c>
    </row>
    <row r="8" spans="1:7" x14ac:dyDescent="0.35">
      <c r="A8" t="s">
        <v>116</v>
      </c>
    </row>
    <row r="9" spans="1:7" x14ac:dyDescent="0.35">
      <c r="A9">
        <v>1</v>
      </c>
      <c r="B9" t="s">
        <v>117</v>
      </c>
    </row>
    <row r="10" spans="1:7" x14ac:dyDescent="0.35">
      <c r="A10">
        <v>0.8</v>
      </c>
      <c r="B10" t="s">
        <v>118</v>
      </c>
    </row>
  </sheetData>
  <sheetProtection algorithmName="SHA-512" hashValue="/GoMYDIIvSHREm+5a1Zn/DAX+3+hDzdfoQFm+cPiErj1EnD2UvDdpdJM3D7BbKn0Kmhgr52bn2vURAesD34xLA==" saltValue="1mlxJ71FftBLMHbbjAHdjA=="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1"/>
  <sheetViews>
    <sheetView workbookViewId="0">
      <selection activeCell="B26" sqref="B26"/>
    </sheetView>
  </sheetViews>
  <sheetFormatPr defaultRowHeight="14.5" x14ac:dyDescent="0.35"/>
  <cols>
    <col min="1" max="1" width="45.7265625" customWidth="1"/>
    <col min="3" max="3" width="21.1796875" customWidth="1"/>
    <col min="4" max="4" width="25.26953125" customWidth="1"/>
  </cols>
  <sheetData>
    <row r="1" spans="1:8" x14ac:dyDescent="0.35">
      <c r="A1" t="s">
        <v>191</v>
      </c>
    </row>
    <row r="2" spans="1:8" x14ac:dyDescent="0.35">
      <c r="A2" s="12"/>
      <c r="B2" s="14"/>
      <c r="C2" s="14"/>
      <c r="D2" s="14"/>
      <c r="E2" s="14"/>
      <c r="F2" s="14"/>
    </row>
    <row r="3" spans="1:8" x14ac:dyDescent="0.35">
      <c r="A3" s="14" t="s">
        <v>187</v>
      </c>
      <c r="B3" s="7">
        <v>76</v>
      </c>
      <c r="D3" s="14" t="s">
        <v>122</v>
      </c>
      <c r="F3" s="14"/>
    </row>
    <row r="4" spans="1:8" s="14" customFormat="1" x14ac:dyDescent="0.35"/>
    <row r="5" spans="1:8" x14ac:dyDescent="0.35">
      <c r="A5" s="142" t="s">
        <v>16</v>
      </c>
      <c r="B5">
        <f>AVERAGE(1063,1065,1078,1089,1077,1064)</f>
        <v>1072.6666666666667</v>
      </c>
      <c r="C5" t="s">
        <v>28</v>
      </c>
      <c r="D5" t="s">
        <v>129</v>
      </c>
      <c r="E5" s="5" t="s">
        <v>17</v>
      </c>
    </row>
    <row r="6" spans="1:8" x14ac:dyDescent="0.35">
      <c r="A6" s="142"/>
      <c r="B6">
        <f>B5/100000</f>
        <v>1.0726666666666667E-2</v>
      </c>
      <c r="C6" t="s">
        <v>29</v>
      </c>
      <c r="D6" t="s">
        <v>18</v>
      </c>
    </row>
    <row r="7" spans="1:8" x14ac:dyDescent="0.35">
      <c r="A7" s="142" t="s">
        <v>19</v>
      </c>
      <c r="B7" s="88">
        <f>B15</f>
        <v>0.47699999999999998</v>
      </c>
      <c r="C7" t="s">
        <v>21</v>
      </c>
      <c r="D7" s="5" t="s">
        <v>158</v>
      </c>
    </row>
    <row r="8" spans="1:8" x14ac:dyDescent="0.35">
      <c r="A8" s="142"/>
      <c r="B8">
        <f>B7/1000</f>
        <v>4.7699999999999999E-4</v>
      </c>
      <c r="C8" t="s">
        <v>23</v>
      </c>
      <c r="D8" t="s">
        <v>26</v>
      </c>
    </row>
    <row r="9" spans="1:8" x14ac:dyDescent="0.35">
      <c r="A9" s="93" t="s">
        <v>20</v>
      </c>
      <c r="B9">
        <v>5.3E-3</v>
      </c>
      <c r="C9" t="s">
        <v>22</v>
      </c>
    </row>
    <row r="11" spans="1:8" s="14" customFormat="1" x14ac:dyDescent="0.35">
      <c r="A11" s="14" t="s">
        <v>192</v>
      </c>
    </row>
    <row r="12" spans="1:8" s="14" customFormat="1" x14ac:dyDescent="0.35"/>
    <row r="13" spans="1:8" s="14" customFormat="1" x14ac:dyDescent="0.35">
      <c r="A13" s="14" t="s">
        <v>134</v>
      </c>
      <c r="B13" s="14">
        <v>2021</v>
      </c>
      <c r="D13" s="5" t="s">
        <v>158</v>
      </c>
    </row>
    <row r="14" spans="1:8" s="14" customFormat="1" x14ac:dyDescent="0.35">
      <c r="A14" s="14" t="s">
        <v>135</v>
      </c>
      <c r="B14" s="14">
        <f>B13+9</f>
        <v>2030</v>
      </c>
    </row>
    <row r="15" spans="1:8" x14ac:dyDescent="0.35">
      <c r="A15" s="84">
        <v>2021</v>
      </c>
      <c r="B15" s="85">
        <v>0.47699999999999998</v>
      </c>
      <c r="C15" s="25" t="s">
        <v>21</v>
      </c>
      <c r="D15" s="69"/>
      <c r="H15" s="70"/>
    </row>
    <row r="16" spans="1:8" x14ac:dyDescent="0.35">
      <c r="A16" s="84">
        <v>2022</v>
      </c>
      <c r="B16" s="85">
        <v>0.44262220649765993</v>
      </c>
      <c r="C16" s="25" t="s">
        <v>21</v>
      </c>
      <c r="D16" s="69"/>
      <c r="H16" s="70"/>
    </row>
    <row r="17" spans="1:12" x14ac:dyDescent="0.35">
      <c r="A17" s="84">
        <v>2023</v>
      </c>
      <c r="B17" s="85">
        <v>0.40824441299533021</v>
      </c>
      <c r="C17" s="25" t="s">
        <v>21</v>
      </c>
      <c r="D17" s="69"/>
      <c r="H17" s="70"/>
    </row>
    <row r="18" spans="1:12" x14ac:dyDescent="0.35">
      <c r="A18" s="84">
        <v>2024</v>
      </c>
      <c r="B18" s="85">
        <v>0.37386661949300048</v>
      </c>
      <c r="C18" s="25" t="s">
        <v>21</v>
      </c>
      <c r="D18" s="69"/>
      <c r="H18" s="70"/>
    </row>
    <row r="19" spans="1:12" x14ac:dyDescent="0.35">
      <c r="A19" s="84">
        <v>2025</v>
      </c>
      <c r="B19" s="85">
        <v>0.33948882599067076</v>
      </c>
      <c r="C19" s="25" t="s">
        <v>21</v>
      </c>
      <c r="D19" s="69"/>
      <c r="H19" s="70"/>
    </row>
    <row r="20" spans="1:12" x14ac:dyDescent="0.35">
      <c r="A20" s="84">
        <v>2026</v>
      </c>
      <c r="B20" s="85">
        <v>0.30511103248832683</v>
      </c>
      <c r="C20" s="25" t="s">
        <v>21</v>
      </c>
      <c r="D20" s="69"/>
      <c r="H20" s="70"/>
    </row>
    <row r="21" spans="1:12" x14ac:dyDescent="0.35">
      <c r="A21" s="84">
        <v>2027</v>
      </c>
      <c r="B21" s="85">
        <v>0.2707332389859971</v>
      </c>
      <c r="C21" s="25" t="s">
        <v>21</v>
      </c>
      <c r="D21" s="69"/>
      <c r="H21" s="70"/>
      <c r="J21" s="88"/>
      <c r="K21" s="88"/>
      <c r="L21" s="88"/>
    </row>
    <row r="22" spans="1:12" x14ac:dyDescent="0.35">
      <c r="A22" s="84">
        <v>2028</v>
      </c>
      <c r="B22" s="85">
        <v>0.23635544548366738</v>
      </c>
      <c r="C22" s="25" t="s">
        <v>21</v>
      </c>
      <c r="D22" s="69"/>
      <c r="H22" s="70"/>
      <c r="K22" s="14"/>
      <c r="L22" s="14"/>
    </row>
    <row r="23" spans="1:12" x14ac:dyDescent="0.35">
      <c r="A23" s="84">
        <v>2029</v>
      </c>
      <c r="B23" s="85">
        <v>0.20197765198133766</v>
      </c>
      <c r="C23" s="25" t="s">
        <v>21</v>
      </c>
      <c r="D23" s="69"/>
      <c r="H23" s="70"/>
    </row>
    <row r="24" spans="1:12" x14ac:dyDescent="0.35">
      <c r="A24" s="84">
        <v>2030</v>
      </c>
      <c r="B24" s="85">
        <v>0.16759985847901224</v>
      </c>
      <c r="C24" s="25" t="s">
        <v>21</v>
      </c>
      <c r="D24" s="69"/>
      <c r="H24" s="70"/>
    </row>
    <row r="25" spans="1:12" s="14" customFormat="1" x14ac:dyDescent="0.35">
      <c r="A25" s="86" t="s">
        <v>133</v>
      </c>
      <c r="B25" s="87">
        <f>1-SUM(B15:B24)/(B15*10)</f>
        <v>0.32431880662578561</v>
      </c>
      <c r="C25" s="50"/>
      <c r="D25" s="69"/>
      <c r="H25" s="70"/>
    </row>
    <row r="26" spans="1:12" s="14" customFormat="1" x14ac:dyDescent="0.35"/>
    <row r="27" spans="1:12" s="14" customFormat="1" x14ac:dyDescent="0.35">
      <c r="A27" s="14" t="s">
        <v>193</v>
      </c>
    </row>
    <row r="28" spans="1:12" x14ac:dyDescent="0.35">
      <c r="A28" t="s">
        <v>61</v>
      </c>
      <c r="B28">
        <f>D28/D29</f>
        <v>0.17607127449819113</v>
      </c>
      <c r="C28" t="s">
        <v>59</v>
      </c>
      <c r="D28">
        <f>27505.4293016754+1.898424</f>
        <v>27507.327725675401</v>
      </c>
      <c r="E28" t="s">
        <v>57</v>
      </c>
      <c r="F28" t="s">
        <v>60</v>
      </c>
    </row>
    <row r="29" spans="1:12" x14ac:dyDescent="0.35">
      <c r="D29">
        <f>116965.63476+39237.35244+25.38</f>
        <v>156228.36720000001</v>
      </c>
      <c r="E29" t="s">
        <v>58</v>
      </c>
      <c r="F29" s="14" t="s">
        <v>62</v>
      </c>
    </row>
    <row r="30" spans="1:12" x14ac:dyDescent="0.35">
      <c r="A30" t="s">
        <v>123</v>
      </c>
    </row>
    <row r="31" spans="1:12" x14ac:dyDescent="0.35">
      <c r="A31" t="s">
        <v>124</v>
      </c>
    </row>
  </sheetData>
  <sheetProtection algorithmName="SHA-512" hashValue="x7XH/Rst06B1AaoaMpu6imve7Hvp8M5vzToxDPdi5Qh5FG4/cNoIKT1Lcn0dFBwb/2G7khqkmomqXVQ39YHyDA==" saltValue="m9vkV6+9yV+uID+L5+Rl8g==" spinCount="100000" sheet="1" objects="1" scenarios="1"/>
  <mergeCells count="2">
    <mergeCell ref="A5:A6"/>
    <mergeCell ref="A7:A8"/>
  </mergeCells>
  <hyperlinks>
    <hyperlink ref="E5" r:id="rId1" xr:uid="{00000000-0004-0000-1000-000000000000}"/>
    <hyperlink ref="D7" r:id="rId2" xr:uid="{9E8027EE-DDA5-493D-9CC6-FB0FF0035DFB}"/>
    <hyperlink ref="D13" r:id="rId3" xr:uid="{6E3EC850-53CC-4B76-967F-299DA4CCECC2}"/>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Applicant Input &amp; Summary</vt:lpstr>
      <vt:lpstr>Mitigated Emissions Input</vt:lpstr>
      <vt:lpstr>Calculation Details</vt:lpstr>
      <vt:lpstr>Performance Std - Source Data</vt:lpstr>
      <vt:lpstr>Projected Energy</vt:lpstr>
      <vt:lpstr>Projected Waste</vt:lpstr>
      <vt:lpstr>Projected Transportation</vt:lpstr>
      <vt:lpstr>Standard Values</vt:lpstr>
      <vt:lpstr>'Applicant Input &amp;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Wong</dc:creator>
  <cp:lastModifiedBy>Jeffrey Wong</cp:lastModifiedBy>
  <cp:lastPrinted>2022-07-06T21:23:38Z</cp:lastPrinted>
  <dcterms:created xsi:type="dcterms:W3CDTF">2021-06-21T19:50:00Z</dcterms:created>
  <dcterms:modified xsi:type="dcterms:W3CDTF">2022-07-29T23:45:57Z</dcterms:modified>
</cp:coreProperties>
</file>